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22.xml" ContentType="application/vnd.openxmlformats-officedocument.drawing+xml"/>
  <Override PartName="/xl/charts/chart3.xml" ContentType="application/vnd.openxmlformats-officedocument.drawingml.chart+xml"/>
  <Override PartName="/xl/charts/chart4.xml" ContentType="application/vnd.openxmlformats-officedocument.drawingml.chart+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xl/volatileDependencies.xml" ContentType="application/vnd.openxmlformats-officedocument.spreadsheetml.volatileDependenc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mc:AlternateContent xmlns:mc="http://schemas.openxmlformats.org/markup-compatibility/2006">
    <mc:Choice Requires="x15">
      <x15ac:absPath xmlns:x15ac="http://schemas.microsoft.com/office/spreadsheetml/2010/11/ac" url="\\SHARES\data\Users\grausche\Desktop\Bloomberg Handouts Sept 2019\"/>
    </mc:Choice>
  </mc:AlternateContent>
  <bookViews>
    <workbookView xWindow="420" yWindow="135" windowWidth="30045" windowHeight="16005" tabRatio="918" firstSheet="1" activeTab="12"/>
  </bookViews>
  <sheets>
    <sheet name="Sheet1" sheetId="51" state="veryHidden" r:id="rId1"/>
    <sheet name="Content" sheetId="80" r:id="rId2"/>
    <sheet name="DBG Hit Tracker" sheetId="82" state="veryHidden" r:id="rId3"/>
    <sheet name="Formula Description" sheetId="10" r:id="rId4"/>
    <sheet name="Getting Started &amp; Templates" sheetId="68" r:id="rId5"/>
    <sheet name="Live Help &amp; Help pages" sheetId="69" r:id="rId6"/>
    <sheet name="Finding Tickers &amp; Fields" sheetId="25" r:id="rId7"/>
    <sheet name="Drag Drop Securities" sheetId="26" r:id="rId8"/>
    <sheet name="Premade Spreadsheets" sheetId="3" r:id="rId9"/>
    <sheet name="Tips &amp; Tricks" sheetId="28" r:id="rId10"/>
    <sheet name="PowerPoint w BBG Data" sheetId="5" r:id="rId11"/>
    <sheet name="BbgResearchPubStorageWorksheet" sheetId="84" state="veryHidden" r:id="rId12"/>
    <sheet name="=BQL" sheetId="83" r:id="rId13"/>
    <sheet name="=BDP" sheetId="9" r:id="rId14"/>
    <sheet name="Overrides" sheetId="31" r:id="rId15"/>
    <sheet name="Error Substitution" sheetId="35" r:id="rId16"/>
    <sheet name="Update Freq" sheetId="47" r:id="rId17"/>
    <sheet name="Interval" sheetId="13" r:id="rId18"/>
    <sheet name="USA Mortgage Bonds" sheetId="48" r:id="rId19"/>
    <sheet name="Repos" sheetId="37" r:id="rId20"/>
    <sheet name="Import Data From Contributors" sheetId="18" r:id="rId21"/>
    <sheet name="=BDH" sheetId="41" r:id="rId22"/>
    <sheet name="=BDS" sheetId="39" r:id="rId23"/>
    <sheet name="Yield Curves" sheetId="71" r:id="rId24"/>
    <sheet name="Swap &amp; Zero Curves" sheetId="72" r:id="rId25"/>
    <sheet name="Supply Chain" sheetId="78" r:id="rId26"/>
    <sheet name="=BCHAIN" sheetId="67" r:id="rId27"/>
    <sheet name="=BSRCH" sheetId="65" r:id="rId28"/>
    <sheet name="=BINTERPOL" sheetId="16" r:id="rId29"/>
    <sheet name="=BADDPERIODS" sheetId="30" r:id="rId30"/>
    <sheet name="=BCOUNTPERIODS" sheetId="15" r:id="rId31"/>
    <sheet name="=BRB" sheetId="19" r:id="rId32"/>
    <sheet name="=BEQS" sheetId="17" r:id="rId33"/>
    <sheet name="=BTP" sheetId="49" r:id="rId34"/>
    <sheet name="=BTH" sheetId="50" r:id="rId35"/>
    <sheet name="=BCURVE =BCURVESTRIP =BVIEW" sheetId="55" r:id="rId36"/>
    <sheet name="Spreads to curves" sheetId="57" r:id="rId37"/>
    <sheet name="=BCURVEFWD" sheetId="56" r:id="rId38"/>
    <sheet name="=BMATRIX" sheetId="81" r:id="rId39"/>
    <sheet name="=BQR =BQRP" sheetId="77" r:id="rId40"/>
    <sheet name="Derivative Library &amp; Resource" sheetId="73" r:id="rId41"/>
    <sheet name="VBA programming" sheetId="29" r:id="rId42"/>
  </sheets>
  <externalReferences>
    <externalReference r:id="rId43"/>
    <externalReference r:id="rId44"/>
  </externalReferences>
  <definedNames>
    <definedName name="_BLP10" localSheetId="21" hidden="1">#REF!</definedName>
    <definedName name="_BLP10" localSheetId="38" hidden="1">#REF!</definedName>
    <definedName name="_BLP10" localSheetId="12" hidden="1">#REF!</definedName>
    <definedName name="_BLP10" localSheetId="34" hidden="1">#REF!</definedName>
    <definedName name="_BLP10" localSheetId="33" hidden="1">#REF!</definedName>
    <definedName name="_BLP10" localSheetId="1" hidden="1">#REF!</definedName>
    <definedName name="_BLP10" localSheetId="15" hidden="1">#REF!</definedName>
    <definedName name="_BLP10" localSheetId="19" hidden="1">#REF!</definedName>
    <definedName name="_BLP10" hidden="1">#REF!</definedName>
    <definedName name="abc" localSheetId="12" hidden="1">#REF!</definedName>
    <definedName name="abc" hidden="1">#REF!</definedName>
    <definedName name="Again" localSheetId="21" hidden="1">#REF!</definedName>
    <definedName name="Again" localSheetId="38" hidden="1">#REF!</definedName>
    <definedName name="Again" localSheetId="12" hidden="1">#REF!</definedName>
    <definedName name="Again" localSheetId="34" hidden="1">#REF!</definedName>
    <definedName name="Again" localSheetId="33" hidden="1">#REF!</definedName>
    <definedName name="Again" localSheetId="1" hidden="1">#REF!</definedName>
    <definedName name="Again" localSheetId="15" hidden="1">#REF!</definedName>
    <definedName name="Again" localSheetId="19" hidden="1">#REF!</definedName>
    <definedName name="Again" hidden="1">#REF!</definedName>
    <definedName name="BBPTAutoColor_Changed" localSheetId="17" hidden="1">TRUE</definedName>
    <definedName name="BBPTAutoColor_ShadowWksName" localSheetId="17" hidden="1">"BBPTACShadowWks0001"</definedName>
    <definedName name="BCuve" localSheetId="38">#REF!</definedName>
    <definedName name="BCuve" localSheetId="12">#REF!</definedName>
    <definedName name="BCuve" localSheetId="1">Content!$H$40</definedName>
    <definedName name="BCuve">#REF!</definedName>
    <definedName name="BLP" localSheetId="21" hidden="1">#REF!</definedName>
    <definedName name="BLP" localSheetId="38" hidden="1">#REF!</definedName>
    <definedName name="BLP" localSheetId="12" hidden="1">#REF!</definedName>
    <definedName name="BLP" localSheetId="34" hidden="1">#REF!</definedName>
    <definedName name="BLP" localSheetId="33" hidden="1">#REF!</definedName>
    <definedName name="BLP" localSheetId="1" hidden="1">#REF!</definedName>
    <definedName name="BLP" localSheetId="15" hidden="1">#REF!</definedName>
    <definedName name="BLP" localSheetId="19" hidden="1">#REF!</definedName>
    <definedName name="BLP" hidden="1">#REF!</definedName>
    <definedName name="BLPB1" localSheetId="21" hidden="1">#REF!</definedName>
    <definedName name="BLPB1" localSheetId="38" hidden="1">#REF!</definedName>
    <definedName name="BLPB1" localSheetId="12" hidden="1">#REF!</definedName>
    <definedName name="BLPB1" localSheetId="1" hidden="1">#REF!</definedName>
    <definedName name="BLPB1" localSheetId="15" hidden="1">#REF!</definedName>
    <definedName name="BLPB1" localSheetId="19" hidden="1">#REF!</definedName>
    <definedName name="BLPB1" hidden="1">#REF!</definedName>
    <definedName name="BLPB2" localSheetId="21" hidden="1">#REF!</definedName>
    <definedName name="BLPB2" localSheetId="38" hidden="1">#REF!</definedName>
    <definedName name="BLPB2" localSheetId="12" hidden="1">#REF!</definedName>
    <definedName name="BLPB2" localSheetId="1" hidden="1">#REF!</definedName>
    <definedName name="BLPB2" localSheetId="15" hidden="1">#REF!</definedName>
    <definedName name="BLPB2" localSheetId="19" hidden="1">#REF!</definedName>
    <definedName name="BLPB2" hidden="1">#REF!</definedName>
    <definedName name="BLPH1" localSheetId="21" hidden="1">#REF!</definedName>
    <definedName name="BLPH1" localSheetId="38" hidden="1">#REF!</definedName>
    <definedName name="BLPH1" localSheetId="12" hidden="1">#REF!</definedName>
    <definedName name="BLPH1" localSheetId="1" hidden="1">#REF!</definedName>
    <definedName name="BLPH1" localSheetId="15" hidden="1">#REF!</definedName>
    <definedName name="BLPH1" localSheetId="19" hidden="1">#REF!</definedName>
    <definedName name="BLPH1" hidden="1">#REF!</definedName>
    <definedName name="BLPH100" localSheetId="12" hidden="1">#REF!</definedName>
    <definedName name="BLPH100" hidden="1">#REF!</definedName>
    <definedName name="BLPH2" localSheetId="21" hidden="1">#REF!</definedName>
    <definedName name="BLPH2" localSheetId="38" hidden="1">#REF!</definedName>
    <definedName name="BLPH2" localSheetId="12" hidden="1">#REF!</definedName>
    <definedName name="BLPH2" localSheetId="1" hidden="1">#REF!</definedName>
    <definedName name="BLPH2" localSheetId="15" hidden="1">#REF!</definedName>
    <definedName name="BLPH2" localSheetId="19" hidden="1">#REF!</definedName>
    <definedName name="BLPH2" hidden="1">#REF!</definedName>
    <definedName name="BLPH3" localSheetId="21" hidden="1">#REF!</definedName>
    <definedName name="BLPH3" localSheetId="38" hidden="1">#REF!</definedName>
    <definedName name="BLPH3" localSheetId="12" hidden="1">#REF!</definedName>
    <definedName name="BLPH3" localSheetId="34" hidden="1">#REF!</definedName>
    <definedName name="BLPH3" localSheetId="33" hidden="1">#REF!</definedName>
    <definedName name="BLPH3" localSheetId="1" hidden="1">#REF!</definedName>
    <definedName name="BLPH3" localSheetId="15" hidden="1">#REF!</definedName>
    <definedName name="BLPH3" localSheetId="19" hidden="1">#REF!</definedName>
    <definedName name="BLPH3" hidden="1">#REF!</definedName>
    <definedName name="BLPH4" localSheetId="21" hidden="1">#REF!</definedName>
    <definedName name="BLPH4" localSheetId="38" hidden="1">#REF!</definedName>
    <definedName name="BLPH4" localSheetId="12" hidden="1">#REF!</definedName>
    <definedName name="BLPH4" localSheetId="34" hidden="1">#REF!</definedName>
    <definedName name="BLPH4" localSheetId="33" hidden="1">#REF!</definedName>
    <definedName name="BLPH4" localSheetId="1" hidden="1">#REF!</definedName>
    <definedName name="BLPH4" localSheetId="15" hidden="1">#REF!</definedName>
    <definedName name="BLPH4" localSheetId="19" hidden="1">#REF!</definedName>
    <definedName name="BLPH4" hidden="1">#REF!</definedName>
    <definedName name="BLPH5" localSheetId="21" hidden="1">#REF!</definedName>
    <definedName name="BLPH5" localSheetId="38" hidden="1">#REF!</definedName>
    <definedName name="BLPH5" localSheetId="12" hidden="1">#REF!</definedName>
    <definedName name="BLPH5" localSheetId="34" hidden="1">#REF!</definedName>
    <definedName name="BLPH5" localSheetId="33" hidden="1">#REF!</definedName>
    <definedName name="BLPH5" localSheetId="1" hidden="1">#REF!</definedName>
    <definedName name="BLPH5" localSheetId="15" hidden="1">#REF!</definedName>
    <definedName name="BLPH5" localSheetId="19" hidden="1">#REF!</definedName>
    <definedName name="BLPH5" hidden="1">#REF!</definedName>
    <definedName name="BLPH6" localSheetId="21" hidden="1">#REF!</definedName>
    <definedName name="BLPH6" localSheetId="38" hidden="1">#REF!</definedName>
    <definedName name="BLPH6" localSheetId="12" hidden="1">#REF!</definedName>
    <definedName name="BLPH6" localSheetId="34" hidden="1">#REF!</definedName>
    <definedName name="BLPH6" localSheetId="33" hidden="1">#REF!</definedName>
    <definedName name="BLPH6" localSheetId="1" hidden="1">#REF!</definedName>
    <definedName name="BLPH6" localSheetId="15" hidden="1">#REF!</definedName>
    <definedName name="BLPH6" localSheetId="19" hidden="1">#REF!</definedName>
    <definedName name="BLPH6" hidden="1">#REF!</definedName>
    <definedName name="BLPH7" localSheetId="21" hidden="1">#REF!</definedName>
    <definedName name="BLPH7" localSheetId="38" hidden="1">#REF!</definedName>
    <definedName name="BLPH7" localSheetId="12" hidden="1">#REF!</definedName>
    <definedName name="BLPH7" localSheetId="34" hidden="1">#REF!</definedName>
    <definedName name="BLPH7" localSheetId="33" hidden="1">#REF!</definedName>
    <definedName name="BLPH7" localSheetId="1" hidden="1">#REF!</definedName>
    <definedName name="BLPH7" localSheetId="15" hidden="1">#REF!</definedName>
    <definedName name="BLPH7" localSheetId="19" hidden="1">#REF!</definedName>
    <definedName name="BLPH7" hidden="1">#REF!</definedName>
    <definedName name="BLPH8" localSheetId="21" hidden="1">#REF!</definedName>
    <definedName name="BLPH8" localSheetId="38" hidden="1">#REF!</definedName>
    <definedName name="BLPH8" localSheetId="12" hidden="1">#REF!</definedName>
    <definedName name="BLPH8" localSheetId="34" hidden="1">#REF!</definedName>
    <definedName name="BLPH8" localSheetId="33" hidden="1">#REF!</definedName>
    <definedName name="BLPH8" localSheetId="1" hidden="1">#REF!</definedName>
    <definedName name="BLPH8" localSheetId="15" hidden="1">#REF!</definedName>
    <definedName name="BLPH8" localSheetId="19" hidden="1">#REF!</definedName>
    <definedName name="BLPH8" hidden="1">#REF!</definedName>
    <definedName name="CalcInterval">[1]Data!$A$1:$A$7</definedName>
    <definedName name="couponfrequency">'[2]Application - Curve Building'!$A$6</definedName>
    <definedName name="DataType">[1]Data!$B$1:$B$8</definedName>
    <definedName name="futures_code">'[2]Application - Curve Building'!$H$6</definedName>
    <definedName name="My" localSheetId="21" hidden="1">#REF!</definedName>
    <definedName name="My" localSheetId="38" hidden="1">#REF!</definedName>
    <definedName name="My" localSheetId="12" hidden="1">#REF!</definedName>
    <definedName name="My" localSheetId="34" hidden="1">#REF!</definedName>
    <definedName name="My" localSheetId="33" hidden="1">#REF!</definedName>
    <definedName name="My" localSheetId="1" hidden="1">#REF!</definedName>
    <definedName name="My" localSheetId="15" hidden="1">#REF!</definedName>
    <definedName name="My" localSheetId="19" hidden="1">#REF!</definedName>
    <definedName name="My" hidden="1">#REF!</definedName>
    <definedName name="test" localSheetId="12" hidden="1">#REF!</definedName>
    <definedName name="test" hidden="1">#REF!</definedName>
    <definedName name="tplusdate">'[2]Application - Curve Building'!$H$4</definedName>
    <definedName name="wwww" localSheetId="12" hidden="1">#REF!</definedName>
    <definedName name="wwww" hidden="1">#REF!</definedName>
    <definedName name="xxx" localSheetId="38" hidden="1">#REF!</definedName>
    <definedName name="xxx" localSheetId="12" hidden="1">#REF!</definedName>
    <definedName name="xxx" localSheetId="34" hidden="1">#REF!</definedName>
    <definedName name="xxx" localSheetId="33" hidden="1">#REF!</definedName>
    <definedName name="xxx" localSheetId="1" hidden="1">#REF!</definedName>
    <definedName name="xxx" hidden="1">#REF!</definedName>
  </definedNames>
  <calcPr calcId="162913"/>
</workbook>
</file>

<file path=xl/calcChain.xml><?xml version="1.0" encoding="utf-8"?>
<calcChain xmlns="http://schemas.openxmlformats.org/spreadsheetml/2006/main">
  <c r="S131" i="83" l="1"/>
  <c r="R131" i="83"/>
  <c r="Q131" i="83"/>
  <c r="P131" i="83"/>
  <c r="O131" i="83"/>
  <c r="V136" i="83"/>
  <c r="V137" i="83"/>
  <c r="V138" i="83"/>
  <c r="V139" i="83"/>
  <c r="V140" i="83"/>
  <c r="V133" i="83"/>
  <c r="V134" i="83"/>
  <c r="V135" i="83"/>
  <c r="N131" i="83"/>
  <c r="M131" i="83"/>
  <c r="L131" i="83"/>
  <c r="C14" i="41"/>
  <c r="B13" i="67"/>
  <c r="R132" i="83"/>
  <c r="AE43" i="55"/>
  <c r="G51" i="30"/>
  <c r="AE36" i="55"/>
  <c r="E33" i="30"/>
  <c r="G56" i="30"/>
  <c r="AE35" i="55"/>
  <c r="E35" i="30"/>
  <c r="C24" i="67"/>
  <c r="F69" i="13"/>
  <c r="C120" i="31"/>
  <c r="D126" i="31"/>
  <c r="G95" i="9"/>
  <c r="E56" i="71"/>
  <c r="Q272" i="71"/>
  <c r="I136" i="9"/>
  <c r="Z49" i="18"/>
  <c r="J91" i="31"/>
  <c r="F68" i="56"/>
  <c r="D293" i="39"/>
  <c r="D297" i="39"/>
  <c r="K27" i="67"/>
  <c r="D45" i="35"/>
  <c r="G151" i="9"/>
  <c r="H103" i="9"/>
  <c r="C99" i="31"/>
  <c r="D148" i="39"/>
  <c r="Q271" i="71"/>
  <c r="E136" i="9"/>
  <c r="E138" i="9"/>
  <c r="J71" i="9"/>
  <c r="F67" i="71"/>
  <c r="E98" i="31"/>
  <c r="D29" i="16"/>
  <c r="E105" i="9"/>
  <c r="F80" i="9"/>
  <c r="K30" i="57"/>
  <c r="J96" i="9"/>
  <c r="G41" i="16"/>
  <c r="M290" i="71"/>
  <c r="J134" i="9"/>
  <c r="I258" i="71"/>
  <c r="N19" i="57"/>
  <c r="E23" i="28"/>
  <c r="F103" i="9"/>
  <c r="E97" i="71"/>
  <c r="G68" i="13"/>
  <c r="H73" i="56"/>
  <c r="D56" i="16"/>
  <c r="C71" i="9"/>
  <c r="D73" i="9"/>
  <c r="C38" i="16"/>
  <c r="Q284" i="71"/>
  <c r="F61" i="71"/>
  <c r="J92" i="31"/>
  <c r="D157" i="39"/>
  <c r="C106" i="31"/>
  <c r="D161" i="9"/>
  <c r="D34" i="16"/>
  <c r="Q269" i="71"/>
  <c r="D95" i="48"/>
  <c r="D286" i="71"/>
  <c r="D137" i="39"/>
  <c r="H58" i="48"/>
  <c r="J132" i="71"/>
  <c r="F267" i="71"/>
  <c r="R252" i="71"/>
  <c r="K14" i="37"/>
  <c r="H298" i="71"/>
  <c r="I283" i="71"/>
  <c r="P11" i="28"/>
  <c r="E103" i="9"/>
  <c r="K65" i="56"/>
  <c r="I126" i="31"/>
  <c r="D235" i="39"/>
  <c r="M269" i="71"/>
  <c r="I262" i="71"/>
  <c r="D57" i="71"/>
  <c r="H252" i="71"/>
  <c r="J121" i="71"/>
  <c r="D257" i="39"/>
  <c r="R282" i="71"/>
  <c r="J120" i="48"/>
  <c r="I173" i="71"/>
  <c r="D286" i="39"/>
  <c r="N282" i="71"/>
  <c r="K273" i="71"/>
  <c r="C72" i="9"/>
  <c r="H126" i="9"/>
  <c r="AB51" i="18"/>
  <c r="E135" i="9"/>
  <c r="I261" i="71"/>
  <c r="G118" i="9"/>
  <c r="H251" i="71"/>
  <c r="I151" i="71"/>
  <c r="D204" i="39"/>
  <c r="R273" i="71"/>
  <c r="D56" i="71"/>
  <c r="D263" i="71"/>
  <c r="I296" i="71"/>
  <c r="E14" i="37"/>
  <c r="M261" i="71"/>
  <c r="C151" i="9"/>
  <c r="D97" i="9"/>
  <c r="Q290" i="71"/>
  <c r="D272" i="71"/>
  <c r="D151" i="39"/>
  <c r="K251" i="71"/>
  <c r="K118" i="71"/>
  <c r="J130" i="71"/>
  <c r="F279" i="71"/>
  <c r="C96" i="83"/>
  <c r="B195" i="41"/>
  <c r="O132" i="83"/>
  <c r="AE49" i="55"/>
  <c r="E158" i="31"/>
  <c r="G54" i="30"/>
  <c r="E157" i="31"/>
  <c r="E32" i="15"/>
  <c r="G55" i="30"/>
  <c r="E156" i="31"/>
  <c r="D93" i="71"/>
  <c r="E67" i="13"/>
  <c r="D38" i="16"/>
  <c r="I68" i="13"/>
  <c r="E161" i="9"/>
  <c r="I113" i="9"/>
  <c r="Q264" i="71"/>
  <c r="D307" i="39"/>
  <c r="F59" i="71"/>
  <c r="D270" i="39"/>
  <c r="I171" i="71"/>
  <c r="H262" i="71"/>
  <c r="D159" i="39"/>
  <c r="K70" i="9"/>
  <c r="C67" i="13"/>
  <c r="K40" i="16"/>
  <c r="H134" i="31"/>
  <c r="G126" i="31"/>
  <c r="H71" i="56"/>
  <c r="Q263" i="71"/>
  <c r="J122" i="71"/>
  <c r="C119" i="9"/>
  <c r="D146" i="39"/>
  <c r="H62" i="56"/>
  <c r="L60" i="28"/>
  <c r="D40" i="35"/>
  <c r="D54" i="16"/>
  <c r="E171" i="31"/>
  <c r="E96" i="9"/>
  <c r="J68" i="28"/>
  <c r="Q294" i="71"/>
  <c r="M282" i="71"/>
  <c r="D111" i="48"/>
  <c r="F44" i="67"/>
  <c r="E60" i="71"/>
  <c r="D57" i="16"/>
  <c r="F68" i="13"/>
  <c r="D92" i="71"/>
  <c r="G67" i="13"/>
  <c r="D61" i="16"/>
  <c r="F67" i="13"/>
  <c r="E183" i="31"/>
  <c r="C53" i="9"/>
  <c r="E126" i="31"/>
  <c r="Q273" i="71"/>
  <c r="D96" i="48"/>
  <c r="D287" i="71"/>
  <c r="D143" i="39"/>
  <c r="F171" i="31"/>
  <c r="C80" i="9"/>
  <c r="J95" i="9"/>
  <c r="Q258" i="71"/>
  <c r="D100" i="48"/>
  <c r="E289" i="71"/>
  <c r="E70" i="71"/>
  <c r="D210" i="39"/>
  <c r="D190" i="39"/>
  <c r="F51" i="67"/>
  <c r="D134" i="9"/>
  <c r="D201" i="39"/>
  <c r="H290" i="71"/>
  <c r="I275" i="71"/>
  <c r="K299" i="71"/>
  <c r="J126" i="9"/>
  <c r="F68" i="31"/>
  <c r="E151" i="9"/>
  <c r="E172" i="31"/>
  <c r="D134" i="39"/>
  <c r="J125" i="71"/>
  <c r="K262" i="71"/>
  <c r="D140" i="39"/>
  <c r="I145" i="71"/>
  <c r="D290" i="39"/>
  <c r="R274" i="71"/>
  <c r="J41" i="57"/>
  <c r="E87" i="71"/>
  <c r="J119" i="9"/>
  <c r="N274" i="71"/>
  <c r="D113" i="9"/>
  <c r="J151" i="9"/>
  <c r="I191" i="9"/>
  <c r="Z47" i="18"/>
  <c r="D178" i="39"/>
  <c r="O9" i="28"/>
  <c r="K261" i="71"/>
  <c r="I128" i="31"/>
  <c r="Y50" i="18"/>
  <c r="F280" i="71"/>
  <c r="R265" i="71"/>
  <c r="F40" i="67"/>
  <c r="D284" i="39"/>
  <c r="I288" i="71"/>
  <c r="F119" i="9"/>
  <c r="E165" i="31"/>
  <c r="J127" i="9"/>
  <c r="G104" i="9"/>
  <c r="Q276" i="71"/>
  <c r="D99" i="48"/>
  <c r="D135" i="39"/>
  <c r="I178" i="9"/>
  <c r="I153" i="71"/>
  <c r="K26" i="67"/>
  <c r="F271" i="71"/>
  <c r="R256" i="71"/>
  <c r="E95" i="71"/>
  <c r="F19" i="67"/>
  <c r="J26" i="67"/>
  <c r="D244" i="39"/>
  <c r="I135" i="9"/>
  <c r="I298" i="71"/>
  <c r="K284" i="71"/>
  <c r="L287" i="71"/>
  <c r="P296" i="71"/>
  <c r="S270" i="71"/>
  <c r="G265" i="71"/>
  <c r="F66" i="71"/>
  <c r="J266" i="71"/>
  <c r="H88" i="83"/>
  <c r="D195" i="41"/>
  <c r="L132" i="83"/>
  <c r="AE42" i="55"/>
  <c r="F25" i="15"/>
  <c r="G57" i="30"/>
  <c r="H55" i="15"/>
  <c r="E44" i="30"/>
  <c r="AE37" i="55"/>
  <c r="F27" i="30"/>
  <c r="I127" i="31"/>
  <c r="H97" i="71"/>
  <c r="E98" i="71"/>
  <c r="E92" i="71"/>
  <c r="K112" i="9"/>
  <c r="E66" i="71"/>
  <c r="Q256" i="71"/>
  <c r="D294" i="39"/>
  <c r="M12" i="28"/>
  <c r="D284" i="71"/>
  <c r="K264" i="71"/>
  <c r="H254" i="71"/>
  <c r="Z43" i="18"/>
  <c r="I133" i="31"/>
  <c r="I127" i="9"/>
  <c r="H152" i="9"/>
  <c r="K66" i="56"/>
  <c r="F151" i="9"/>
  <c r="C14" i="37"/>
  <c r="Q255" i="71"/>
  <c r="D241" i="39"/>
  <c r="I139" i="9"/>
  <c r="E79" i="48"/>
  <c r="K263" i="71"/>
  <c r="I68" i="28"/>
  <c r="E66" i="13"/>
  <c r="K35" i="16"/>
  <c r="D79" i="9"/>
  <c r="K70" i="56"/>
  <c r="D66" i="16"/>
  <c r="Q286" i="71"/>
  <c r="M274" i="71"/>
  <c r="D103" i="48"/>
  <c r="E128" i="31"/>
  <c r="E280" i="71"/>
  <c r="J30" i="57"/>
  <c r="H133" i="31"/>
  <c r="C183" i="31"/>
  <c r="H89" i="71"/>
  <c r="D67" i="16"/>
  <c r="C66" i="13"/>
  <c r="E96" i="71"/>
  <c r="G80" i="9"/>
  <c r="D72" i="9"/>
  <c r="Q259" i="71"/>
  <c r="D101" i="48"/>
  <c r="E290" i="71"/>
  <c r="F54" i="9"/>
  <c r="C30" i="16"/>
  <c r="D310" i="39"/>
  <c r="H30" i="16"/>
  <c r="M296" i="71"/>
  <c r="D215" i="39"/>
  <c r="I154" i="71"/>
  <c r="D137" i="9"/>
  <c r="Y44" i="18"/>
  <c r="I129" i="71"/>
  <c r="H13" i="81"/>
  <c r="F295" i="71"/>
  <c r="F69" i="56"/>
  <c r="H282" i="71"/>
  <c r="D52" i="48"/>
  <c r="K291" i="71"/>
  <c r="C70" i="31"/>
  <c r="I69" i="28"/>
  <c r="F51" i="9"/>
  <c r="Q292" i="71"/>
  <c r="C52" i="9"/>
  <c r="D35" i="16"/>
  <c r="K253" i="71"/>
  <c r="C23" i="67"/>
  <c r="N12" i="28"/>
  <c r="F281" i="71"/>
  <c r="R266" i="71"/>
  <c r="L23" i="67"/>
  <c r="D264" i="71"/>
  <c r="I297" i="71"/>
  <c r="F66" i="56"/>
  <c r="H90" i="71"/>
  <c r="C36" i="16"/>
  <c r="N15" i="57"/>
  <c r="Q291" i="71"/>
  <c r="D273" i="71"/>
  <c r="L167" i="9"/>
  <c r="K252" i="71"/>
  <c r="F28" i="67"/>
  <c r="K15" i="67"/>
  <c r="F272" i="71"/>
  <c r="R257" i="71"/>
  <c r="D258" i="39"/>
  <c r="H295" i="71"/>
  <c r="I280" i="71"/>
  <c r="K71" i="9"/>
  <c r="L27" i="67"/>
  <c r="G81" i="9"/>
  <c r="C171" i="31"/>
  <c r="Q265" i="71"/>
  <c r="D107" i="48"/>
  <c r="E296" i="71"/>
  <c r="I155" i="71"/>
  <c r="AB42" i="18"/>
  <c r="L25" i="67"/>
  <c r="F263" i="71"/>
  <c r="E63" i="71"/>
  <c r="F69" i="31"/>
  <c r="E295" i="71"/>
  <c r="D187" i="39"/>
  <c r="R287" i="71"/>
  <c r="H54" i="48"/>
  <c r="I285" i="71"/>
  <c r="K270" i="71"/>
  <c r="L279" i="71"/>
  <c r="P288" i="71"/>
  <c r="S262" i="71"/>
  <c r="D242" i="39"/>
  <c r="J128" i="71"/>
  <c r="J258" i="71"/>
  <c r="B114" i="83"/>
  <c r="H17" i="19"/>
  <c r="K132" i="83"/>
  <c r="G58" i="30"/>
  <c r="F22" i="30"/>
  <c r="L56" i="56"/>
  <c r="C255" i="41"/>
  <c r="L10" i="57"/>
  <c r="AE45" i="55"/>
  <c r="E61" i="15"/>
  <c r="K91" i="31"/>
  <c r="I176" i="71"/>
  <c r="K151" i="9"/>
  <c r="I152" i="9"/>
  <c r="E95" i="9"/>
  <c r="C177" i="71"/>
  <c r="D136" i="39"/>
  <c r="D57" i="48"/>
  <c r="D158" i="39"/>
  <c r="E293" i="71"/>
  <c r="K256" i="71"/>
  <c r="J118" i="71"/>
  <c r="D202" i="39"/>
  <c r="D52" i="16"/>
  <c r="D68" i="13"/>
  <c r="G105" i="9"/>
  <c r="I105" i="9"/>
  <c r="E97" i="9"/>
  <c r="D60" i="48"/>
  <c r="M299" i="71"/>
  <c r="P10" i="28"/>
  <c r="I267" i="71"/>
  <c r="E292" i="71"/>
  <c r="E94" i="71"/>
  <c r="C165" i="31"/>
  <c r="H127" i="31"/>
  <c r="H70" i="56"/>
  <c r="C69" i="13"/>
  <c r="H128" i="9"/>
  <c r="I146" i="9"/>
  <c r="Q278" i="71"/>
  <c r="C35" i="16"/>
  <c r="H41" i="16"/>
  <c r="D67" i="71"/>
  <c r="E272" i="71"/>
  <c r="G127" i="31"/>
  <c r="E68" i="13"/>
  <c r="D145" i="9"/>
  <c r="D63" i="16"/>
  <c r="D99" i="31"/>
  <c r="C73" i="9"/>
  <c r="F104" i="9"/>
  <c r="C98" i="31"/>
  <c r="I96" i="9"/>
  <c r="M297" i="71"/>
  <c r="G135" i="31"/>
  <c r="F45" i="67"/>
  <c r="D177" i="9"/>
  <c r="H98" i="71"/>
  <c r="D59" i="16"/>
  <c r="C112" i="9"/>
  <c r="M285" i="71"/>
  <c r="D231" i="39"/>
  <c r="E277" i="71"/>
  <c r="H264" i="71"/>
  <c r="E65" i="71"/>
  <c r="D268" i="71"/>
  <c r="R292" i="71"/>
  <c r="F287" i="71"/>
  <c r="E62" i="71"/>
  <c r="H274" i="71"/>
  <c r="N292" i="71"/>
  <c r="K283" i="71"/>
  <c r="D171" i="31"/>
  <c r="G152" i="9"/>
  <c r="D58" i="16"/>
  <c r="Q281" i="71"/>
  <c r="E166" i="9"/>
  <c r="E167" i="9"/>
  <c r="Y47" i="18"/>
  <c r="D285" i="39"/>
  <c r="F46" i="67"/>
  <c r="F273" i="71"/>
  <c r="R258" i="71"/>
  <c r="C160" i="9"/>
  <c r="I167" i="9"/>
  <c r="I289" i="71"/>
  <c r="D303" i="39"/>
  <c r="E70" i="31"/>
  <c r="C33" i="16"/>
  <c r="F127" i="31"/>
  <c r="Q277" i="71"/>
  <c r="I125" i="71"/>
  <c r="D196" i="39"/>
  <c r="I131" i="71"/>
  <c r="J16" i="67"/>
  <c r="K166" i="9"/>
  <c r="F264" i="71"/>
  <c r="C20" i="67"/>
  <c r="M8" i="28"/>
  <c r="H287" i="71"/>
  <c r="I272" i="71"/>
  <c r="K296" i="71"/>
  <c r="D90" i="31"/>
  <c r="E22" i="28"/>
  <c r="C79" i="9"/>
  <c r="Q251" i="71"/>
  <c r="D167" i="9"/>
  <c r="K167" i="9"/>
  <c r="J144" i="71"/>
  <c r="L17" i="67"/>
  <c r="O10" i="28"/>
  <c r="F178" i="9"/>
  <c r="C105" i="31"/>
  <c r="Q299" i="71"/>
  <c r="E276" i="71"/>
  <c r="D175" i="39"/>
  <c r="R271" i="71"/>
  <c r="G178" i="9"/>
  <c r="I271" i="71"/>
  <c r="M263" i="71"/>
  <c r="L271" i="71"/>
  <c r="P280" i="71"/>
  <c r="S254" i="71"/>
  <c r="F258" i="71"/>
  <c r="E160" i="9"/>
  <c r="F70" i="56"/>
  <c r="C88" i="83"/>
  <c r="B196" i="18"/>
  <c r="N132" i="83"/>
  <c r="B121" i="48"/>
  <c r="E34" i="30"/>
  <c r="AE34" i="55"/>
  <c r="AE47" i="55"/>
  <c r="F20" i="15"/>
  <c r="I56" i="56"/>
  <c r="AE44" i="55"/>
  <c r="I145" i="9"/>
  <c r="C32" i="16"/>
  <c r="F133" i="31"/>
  <c r="H127" i="9"/>
  <c r="G97" i="9"/>
  <c r="C189" i="31"/>
  <c r="M292" i="71"/>
  <c r="G112" i="9"/>
  <c r="I260" i="71"/>
  <c r="F21" i="28"/>
  <c r="D191" i="39"/>
  <c r="H113" i="9"/>
  <c r="I160" i="9"/>
  <c r="M36" i="28"/>
  <c r="H92" i="71"/>
  <c r="J128" i="9"/>
  <c r="G133" i="31"/>
  <c r="K63" i="56"/>
  <c r="J118" i="9"/>
  <c r="M291" i="71"/>
  <c r="C69" i="31"/>
  <c r="I259" i="71"/>
  <c r="N24" i="57"/>
  <c r="E104" i="9"/>
  <c r="H161" i="9"/>
  <c r="K68" i="56"/>
  <c r="D119" i="31"/>
  <c r="D67" i="13"/>
  <c r="C39" i="16"/>
  <c r="K122" i="71"/>
  <c r="Q270" i="71"/>
  <c r="J70" i="28"/>
  <c r="F65" i="56"/>
  <c r="J70" i="9"/>
  <c r="D181" i="39"/>
  <c r="C29" i="16"/>
  <c r="G69" i="13"/>
  <c r="C119" i="31"/>
  <c r="D89" i="71"/>
  <c r="D309" i="39"/>
  <c r="K73" i="56"/>
  <c r="D37" i="16"/>
  <c r="D134" i="31"/>
  <c r="C173" i="71"/>
  <c r="M286" i="71"/>
  <c r="D214" i="39"/>
  <c r="E278" i="71"/>
  <c r="H265" i="71"/>
  <c r="D152" i="9"/>
  <c r="C176" i="71"/>
  <c r="J135" i="9"/>
  <c r="M271" i="71"/>
  <c r="I264" i="71"/>
  <c r="D163" i="39"/>
  <c r="H255" i="71"/>
  <c r="L15" i="67"/>
  <c r="D165" i="39"/>
  <c r="R284" i="71"/>
  <c r="D118" i="9"/>
  <c r="D274" i="71"/>
  <c r="E67" i="71"/>
  <c r="N284" i="71"/>
  <c r="K275" i="71"/>
  <c r="D62" i="16"/>
  <c r="H67" i="13"/>
  <c r="I190" i="9"/>
  <c r="Q267" i="71"/>
  <c r="D109" i="48"/>
  <c r="E298" i="71"/>
  <c r="H11" i="81"/>
  <c r="D144" i="39"/>
  <c r="D236" i="39"/>
  <c r="F265" i="71"/>
  <c r="L18" i="67"/>
  <c r="M9" i="28"/>
  <c r="H296" i="71"/>
  <c r="I281" i="71"/>
  <c r="K92" i="31"/>
  <c r="D41" i="16"/>
  <c r="E119" i="31"/>
  <c r="C100" i="31"/>
  <c r="Q266" i="71"/>
  <c r="D108" i="48"/>
  <c r="E297" i="71"/>
  <c r="K24" i="67"/>
  <c r="D162" i="39"/>
  <c r="D53" i="48"/>
  <c r="I177" i="9"/>
  <c r="F79" i="48"/>
  <c r="D87" i="71"/>
  <c r="H279" i="71"/>
  <c r="N297" i="71"/>
  <c r="K288" i="71"/>
  <c r="E93" i="71"/>
  <c r="G134" i="31"/>
  <c r="N24" i="28"/>
  <c r="M289" i="71"/>
  <c r="J143" i="71"/>
  <c r="E284" i="71"/>
  <c r="K19" i="67"/>
  <c r="F72" i="56"/>
  <c r="D305" i="39"/>
  <c r="R296" i="71"/>
  <c r="D183" i="31"/>
  <c r="Q261" i="71"/>
  <c r="K258" i="71"/>
  <c r="J155" i="71"/>
  <c r="R255" i="71"/>
  <c r="F52" i="67"/>
  <c r="N293" i="71"/>
  <c r="M254" i="71"/>
  <c r="G295" i="71"/>
  <c r="P272" i="71"/>
  <c r="D229" i="39"/>
  <c r="H57" i="48"/>
  <c r="Z48" i="18"/>
  <c r="I137" i="9"/>
  <c r="H113" i="83"/>
  <c r="P132" i="83"/>
  <c r="M132" i="83"/>
  <c r="AE32" i="55"/>
  <c r="AE50" i="55"/>
  <c r="AE40" i="55"/>
  <c r="H54" i="15"/>
  <c r="AE48" i="55"/>
  <c r="AE33" i="55"/>
  <c r="G52" i="30"/>
  <c r="G161" i="9"/>
  <c r="K62" i="56"/>
  <c r="G103" i="9"/>
  <c r="D146" i="9"/>
  <c r="J97" i="9"/>
  <c r="Q296" i="71"/>
  <c r="M284" i="71"/>
  <c r="D94" i="48"/>
  <c r="I252" i="71"/>
  <c r="D31" i="16"/>
  <c r="D69" i="71"/>
  <c r="J136" i="9"/>
  <c r="F55" i="67"/>
  <c r="K14" i="57"/>
  <c r="H68" i="13"/>
  <c r="E80" i="9"/>
  <c r="F96" i="9"/>
  <c r="I66" i="13"/>
  <c r="Q295" i="71"/>
  <c r="M283" i="71"/>
  <c r="D112" i="48"/>
  <c r="I251" i="71"/>
  <c r="F74" i="56"/>
  <c r="D22" i="28"/>
  <c r="D39" i="16"/>
  <c r="D30" i="16"/>
  <c r="D32" i="16"/>
  <c r="E134" i="31"/>
  <c r="E88" i="71"/>
  <c r="H61" i="56"/>
  <c r="Q262" i="71"/>
  <c r="D68" i="71"/>
  <c r="D64" i="71"/>
  <c r="D269" i="39"/>
  <c r="C167" i="9"/>
  <c r="J27" i="67"/>
  <c r="C142" i="31"/>
  <c r="F53" i="9"/>
  <c r="B133" i="39"/>
  <c r="C40" i="35"/>
  <c r="D68" i="31"/>
  <c r="I103" i="9"/>
  <c r="L161" i="9"/>
  <c r="E21" i="28"/>
  <c r="M272" i="71"/>
  <c r="I265" i="71"/>
  <c r="J19" i="67"/>
  <c r="H256" i="71"/>
  <c r="D165" i="31"/>
  <c r="E90" i="71"/>
  <c r="K128" i="71"/>
  <c r="E184" i="31"/>
  <c r="I253" i="71"/>
  <c r="K266" i="71"/>
  <c r="E140" i="9"/>
  <c r="D79" i="48"/>
  <c r="K25" i="57"/>
  <c r="R276" i="71"/>
  <c r="G31" i="16"/>
  <c r="D211" i="39"/>
  <c r="J113" i="9"/>
  <c r="N276" i="71"/>
  <c r="F22" i="67"/>
  <c r="H51" i="16"/>
  <c r="E81" i="9"/>
  <c r="D69" i="13"/>
  <c r="Q253" i="71"/>
  <c r="F128" i="31"/>
  <c r="J153" i="71"/>
  <c r="J158" i="71"/>
  <c r="D267" i="39"/>
  <c r="J15" i="67"/>
  <c r="I128" i="71"/>
  <c r="D302" i="39"/>
  <c r="L16" i="67"/>
  <c r="H288" i="71"/>
  <c r="I273" i="71"/>
  <c r="K297" i="71"/>
  <c r="G51" i="16"/>
  <c r="F23" i="28"/>
  <c r="H191" i="9"/>
  <c r="Q252" i="71"/>
  <c r="H72" i="56"/>
  <c r="F62" i="71"/>
  <c r="C18" i="67"/>
  <c r="M28" i="28"/>
  <c r="D288" i="39"/>
  <c r="R297" i="71"/>
  <c r="F292" i="71"/>
  <c r="D189" i="39"/>
  <c r="H271" i="71"/>
  <c r="N289" i="71"/>
  <c r="K280" i="71"/>
  <c r="M14" i="57"/>
  <c r="J14" i="57"/>
  <c r="Z46" i="18"/>
  <c r="M278" i="71"/>
  <c r="J145" i="71"/>
  <c r="E270" i="71"/>
  <c r="H259" i="71"/>
  <c r="J149" i="71"/>
  <c r="D48" i="48"/>
  <c r="R288" i="71"/>
  <c r="K71" i="56"/>
  <c r="M281" i="71"/>
  <c r="AB48" i="18"/>
  <c r="M11" i="28"/>
  <c r="F299" i="71"/>
  <c r="K25" i="67"/>
  <c r="N279" i="71"/>
  <c r="N263" i="71"/>
  <c r="G287" i="71"/>
  <c r="D135" i="9"/>
  <c r="E263" i="71"/>
  <c r="K119" i="71"/>
  <c r="J298" i="71"/>
  <c r="E195" i="31"/>
  <c r="E13" i="67"/>
  <c r="S132" i="83"/>
  <c r="B139" i="18"/>
  <c r="G61" i="30"/>
  <c r="AE46" i="55"/>
  <c r="G59" i="30"/>
  <c r="G62" i="30"/>
  <c r="H53" i="15"/>
  <c r="G53" i="30"/>
  <c r="H93" i="71"/>
  <c r="C190" i="31"/>
  <c r="D70" i="31"/>
  <c r="H104" i="9"/>
  <c r="G96" i="9"/>
  <c r="I104" i="9"/>
  <c r="Q280" i="71"/>
  <c r="M268" i="71"/>
  <c r="D268" i="39"/>
  <c r="E69" i="31"/>
  <c r="E274" i="71"/>
  <c r="L19" i="67"/>
  <c r="C14" i="67"/>
  <c r="D88" i="71"/>
  <c r="D66" i="13"/>
  <c r="E127" i="31"/>
  <c r="F126" i="31"/>
  <c r="F97" i="9"/>
  <c r="H96" i="9"/>
  <c r="Q279" i="71"/>
  <c r="I143" i="71"/>
  <c r="D153" i="39"/>
  <c r="K117" i="71"/>
  <c r="E273" i="71"/>
  <c r="D97" i="71"/>
  <c r="I69" i="13"/>
  <c r="E90" i="31"/>
  <c r="D81" i="9"/>
  <c r="D166" i="31"/>
  <c r="C143" i="31"/>
  <c r="D239" i="39"/>
  <c r="M298" i="71"/>
  <c r="H112" i="9"/>
  <c r="I266" i="71"/>
  <c r="E291" i="71"/>
  <c r="H94" i="71"/>
  <c r="H129" i="9"/>
  <c r="E89" i="71"/>
  <c r="D190" i="31"/>
  <c r="D308" i="39"/>
  <c r="D55" i="16"/>
  <c r="K74" i="56"/>
  <c r="K30" i="16"/>
  <c r="I128" i="9"/>
  <c r="Q298" i="71"/>
  <c r="H50" i="48"/>
  <c r="F53" i="67"/>
  <c r="K257" i="71"/>
  <c r="E100" i="31"/>
  <c r="F81" i="9"/>
  <c r="F95" i="9"/>
  <c r="Q283" i="71"/>
  <c r="D195" i="39"/>
  <c r="I130" i="71"/>
  <c r="F35" i="67"/>
  <c r="I172" i="71"/>
  <c r="D218" i="39"/>
  <c r="F275" i="71"/>
  <c r="R260" i="71"/>
  <c r="D228" i="39"/>
  <c r="E20" i="28"/>
  <c r="I291" i="71"/>
  <c r="H167" i="9"/>
  <c r="D120" i="31"/>
  <c r="D89" i="31"/>
  <c r="H190" i="9"/>
  <c r="E137" i="9"/>
  <c r="M280" i="71"/>
  <c r="D180" i="39"/>
  <c r="E275" i="71"/>
  <c r="H261" i="71"/>
  <c r="J18" i="67"/>
  <c r="D266" i="71"/>
  <c r="R290" i="71"/>
  <c r="F285" i="71"/>
  <c r="D172" i="39"/>
  <c r="H272" i="71"/>
  <c r="N290" i="71"/>
  <c r="K281" i="71"/>
  <c r="C68" i="13"/>
  <c r="D71" i="9"/>
  <c r="D168" i="39"/>
  <c r="M279" i="71"/>
  <c r="F17" i="67"/>
  <c r="E271" i="71"/>
  <c r="H260" i="71"/>
  <c r="J119" i="48"/>
  <c r="D226" i="39"/>
  <c r="R281" i="71"/>
  <c r="H56" i="48"/>
  <c r="I195" i="31"/>
  <c r="J138" i="9"/>
  <c r="N273" i="71"/>
  <c r="C113" i="9"/>
  <c r="F152" i="9"/>
  <c r="D100" i="31"/>
  <c r="D70" i="71"/>
  <c r="D164" i="39"/>
  <c r="O8" i="28"/>
  <c r="K260" i="71"/>
  <c r="M13" i="28"/>
  <c r="I124" i="71"/>
  <c r="D154" i="39"/>
  <c r="R272" i="71"/>
  <c r="D23" i="28"/>
  <c r="D106" i="48"/>
  <c r="P13" i="28"/>
  <c r="D304" i="39"/>
  <c r="D230" i="39"/>
  <c r="H275" i="71"/>
  <c r="D60" i="71"/>
  <c r="E69" i="71"/>
  <c r="F61" i="56"/>
  <c r="S286" i="71"/>
  <c r="G281" i="71"/>
  <c r="J14" i="67"/>
  <c r="J282" i="71"/>
  <c r="O287" i="71"/>
  <c r="H13" i="67"/>
  <c r="AE39" i="55"/>
  <c r="M276" i="71"/>
  <c r="C41" i="16"/>
  <c r="E281" i="71"/>
  <c r="Q254" i="71"/>
  <c r="C37" i="16"/>
  <c r="K267" i="71"/>
  <c r="D250" i="39"/>
  <c r="M264" i="71"/>
  <c r="D289" i="39"/>
  <c r="E99" i="31"/>
  <c r="D265" i="71"/>
  <c r="C144" i="31"/>
  <c r="R280" i="71"/>
  <c r="P12" i="28"/>
  <c r="N255" i="71"/>
  <c r="K130" i="71"/>
  <c r="O255" i="71"/>
  <c r="P262" i="71"/>
  <c r="K161" i="9"/>
  <c r="Q293" i="71"/>
  <c r="E269" i="71"/>
  <c r="F172" i="31"/>
  <c r="R270" i="71"/>
  <c r="G167" i="9"/>
  <c r="I284" i="71"/>
  <c r="K269" i="71"/>
  <c r="L278" i="71"/>
  <c r="P287" i="71"/>
  <c r="S261" i="71"/>
  <c r="D283" i="71"/>
  <c r="D139" i="9"/>
  <c r="J257" i="71"/>
  <c r="H66" i="13"/>
  <c r="D271" i="71"/>
  <c r="H257" i="71"/>
  <c r="D145" i="39"/>
  <c r="F283" i="71"/>
  <c r="H297" i="71"/>
  <c r="N277" i="71"/>
  <c r="N261" i="71"/>
  <c r="G285" i="71"/>
  <c r="D223" i="39"/>
  <c r="E261" i="71"/>
  <c r="F118" i="9"/>
  <c r="J296" i="71"/>
  <c r="D174" i="39"/>
  <c r="H88" i="71"/>
  <c r="D270" i="71"/>
  <c r="H253" i="71"/>
  <c r="D170" i="39"/>
  <c r="F282" i="71"/>
  <c r="H294" i="71"/>
  <c r="N275" i="71"/>
  <c r="N260" i="71"/>
  <c r="G284" i="71"/>
  <c r="S299" i="71"/>
  <c r="E260" i="71"/>
  <c r="C55" i="9"/>
  <c r="I97" i="9"/>
  <c r="I256" i="71"/>
  <c r="G113" i="9"/>
  <c r="F262" i="71"/>
  <c r="F69" i="71"/>
  <c r="H268" i="71"/>
  <c r="D58" i="48"/>
  <c r="L299" i="71"/>
  <c r="F24" i="67"/>
  <c r="S282" i="71"/>
  <c r="G277" i="71"/>
  <c r="C171" i="71"/>
  <c r="J278" i="71"/>
  <c r="O283" i="71"/>
  <c r="L267" i="71"/>
  <c r="C45" i="35"/>
  <c r="M295" i="71"/>
  <c r="H50" i="16"/>
  <c r="G172" i="9"/>
  <c r="J123" i="71"/>
  <c r="F62" i="56"/>
  <c r="N296" i="71"/>
  <c r="M257" i="71"/>
  <c r="G298" i="71"/>
  <c r="P275" i="71"/>
  <c r="H160" i="9"/>
  <c r="F253" i="71"/>
  <c r="D184" i="39"/>
  <c r="J152" i="71"/>
  <c r="D36" i="16"/>
  <c r="F32" i="67"/>
  <c r="E139" i="9"/>
  <c r="F260" i="71"/>
  <c r="E71" i="71"/>
  <c r="K124" i="71"/>
  <c r="D171" i="39"/>
  <c r="L297" i="71"/>
  <c r="AB46" i="18"/>
  <c r="S280" i="71"/>
  <c r="G275" i="71"/>
  <c r="D188" i="39"/>
  <c r="J276" i="71"/>
  <c r="O281" i="71"/>
  <c r="I286" i="71"/>
  <c r="D213" i="39"/>
  <c r="J299" i="71"/>
  <c r="D259" i="71"/>
  <c r="F63" i="56"/>
  <c r="AB43" i="18"/>
  <c r="J40" i="57"/>
  <c r="P264" i="71"/>
  <c r="F70" i="71"/>
  <c r="J295" i="71"/>
  <c r="D257" i="71"/>
  <c r="F70" i="31"/>
  <c r="G288" i="71"/>
  <c r="O264" i="71"/>
  <c r="H99" i="71"/>
  <c r="N35" i="57"/>
  <c r="L264" i="71"/>
  <c r="D33" i="16"/>
  <c r="P8" i="28"/>
  <c r="O274" i="71"/>
  <c r="P259" i="71"/>
  <c r="D102" i="71"/>
  <c r="O258" i="71"/>
  <c r="H151" i="9"/>
  <c r="Q132" i="83"/>
  <c r="E70" i="30"/>
  <c r="D105" i="48"/>
  <c r="G79" i="9"/>
  <c r="E91" i="71"/>
  <c r="D160" i="9"/>
  <c r="H69" i="13"/>
  <c r="E89" i="31"/>
  <c r="D232" i="39"/>
  <c r="L58" i="28"/>
  <c r="D256" i="39"/>
  <c r="D133" i="31"/>
  <c r="R289" i="71"/>
  <c r="G40" i="16"/>
  <c r="R264" i="71"/>
  <c r="F270" i="71"/>
  <c r="L295" i="71"/>
  <c r="E113" i="9"/>
  <c r="D278" i="39"/>
  <c r="P254" i="71"/>
  <c r="J152" i="9"/>
  <c r="Q260" i="71"/>
  <c r="K254" i="71"/>
  <c r="F113" i="9"/>
  <c r="R254" i="71"/>
  <c r="D169" i="39"/>
  <c r="I270" i="71"/>
  <c r="M262" i="71"/>
  <c r="L270" i="71"/>
  <c r="P279" i="71"/>
  <c r="S253" i="71"/>
  <c r="F257" i="71"/>
  <c r="D99" i="71"/>
  <c r="F56" i="71"/>
  <c r="I126" i="9"/>
  <c r="D277" i="39"/>
  <c r="D272" i="39"/>
  <c r="D306" i="39"/>
  <c r="C21" i="67"/>
  <c r="H284" i="71"/>
  <c r="D200" i="39"/>
  <c r="N253" i="71"/>
  <c r="H69" i="56"/>
  <c r="S292" i="71"/>
  <c r="E253" i="71"/>
  <c r="D61" i="71"/>
  <c r="J288" i="71"/>
  <c r="O293" i="71"/>
  <c r="H96" i="71"/>
  <c r="D253" i="39"/>
  <c r="F25" i="28"/>
  <c r="L26" i="67"/>
  <c r="D172" i="9"/>
  <c r="H283" i="71"/>
  <c r="F49" i="67"/>
  <c r="N252" i="71"/>
  <c r="D59" i="48"/>
  <c r="S291" i="71"/>
  <c r="E252" i="71"/>
  <c r="J150" i="71"/>
  <c r="H95" i="9"/>
  <c r="I174" i="71"/>
  <c r="L22" i="67"/>
  <c r="R295" i="71"/>
  <c r="D233" i="39"/>
  <c r="H59" i="48"/>
  <c r="K290" i="71"/>
  <c r="L291" i="71"/>
  <c r="D141" i="39"/>
  <c r="S274" i="71"/>
  <c r="G269" i="71"/>
  <c r="D234" i="39"/>
  <c r="J270" i="71"/>
  <c r="O275" i="71"/>
  <c r="L259" i="71"/>
  <c r="C40" i="16"/>
  <c r="F71" i="56"/>
  <c r="H63" i="56"/>
  <c r="G166" i="9"/>
  <c r="F291" i="71"/>
  <c r="D20" i="28"/>
  <c r="N285" i="71"/>
  <c r="N266" i="71"/>
  <c r="G290" i="71"/>
  <c r="O11" i="28"/>
  <c r="E266" i="71"/>
  <c r="K17" i="67"/>
  <c r="D295" i="39"/>
  <c r="F112" i="9"/>
  <c r="D98" i="71"/>
  <c r="D288" i="71"/>
  <c r="I127" i="71"/>
  <c r="R293" i="71"/>
  <c r="D206" i="39"/>
  <c r="D149" i="39"/>
  <c r="K286" i="71"/>
  <c r="L289" i="71"/>
  <c r="P298" i="71"/>
  <c r="S272" i="71"/>
  <c r="G267" i="71"/>
  <c r="F34" i="67"/>
  <c r="J268" i="71"/>
  <c r="O273" i="71"/>
  <c r="K271" i="71"/>
  <c r="I274" i="71"/>
  <c r="J267" i="71"/>
  <c r="L261" i="71"/>
  <c r="K129" i="71"/>
  <c r="K41" i="16"/>
  <c r="N31" i="57"/>
  <c r="E119" i="9"/>
  <c r="N294" i="71"/>
  <c r="J263" i="71"/>
  <c r="L260" i="71"/>
  <c r="AB45" i="18"/>
  <c r="I117" i="71"/>
  <c r="O253" i="71"/>
  <c r="F20" i="67"/>
  <c r="D254" i="71"/>
  <c r="G257" i="71"/>
  <c r="D110" i="48"/>
  <c r="S295" i="71"/>
  <c r="O262" i="71"/>
  <c r="Y49" i="18"/>
  <c r="N30" i="57"/>
  <c r="B131" i="83"/>
  <c r="D98" i="31"/>
  <c r="D262" i="39"/>
  <c r="E69" i="13"/>
  <c r="I161" i="9"/>
  <c r="D49" i="48"/>
  <c r="D65" i="16"/>
  <c r="H105" i="9"/>
  <c r="F15" i="67"/>
  <c r="I134" i="31"/>
  <c r="R298" i="71"/>
  <c r="F13" i="67"/>
  <c r="F284" i="71"/>
  <c r="H74" i="56"/>
  <c r="D151" i="9"/>
  <c r="F288" i="71"/>
  <c r="AB52" i="18"/>
  <c r="J290" i="71"/>
  <c r="N41" i="57"/>
  <c r="N25" i="57"/>
  <c r="I151" i="9"/>
  <c r="M277" i="71"/>
  <c r="I123" i="71"/>
  <c r="O13" i="28"/>
  <c r="F298" i="71"/>
  <c r="D262" i="71"/>
  <c r="N291" i="71"/>
  <c r="M253" i="71"/>
  <c r="G294" i="71"/>
  <c r="P271" i="71"/>
  <c r="J24" i="57"/>
  <c r="I157" i="71"/>
  <c r="H61" i="48"/>
  <c r="D246" i="39"/>
  <c r="H97" i="9"/>
  <c r="D186" i="39"/>
  <c r="D138" i="9"/>
  <c r="F268" i="71"/>
  <c r="C54" i="9"/>
  <c r="H270" i="71"/>
  <c r="J126" i="71"/>
  <c r="D255" i="39"/>
  <c r="I149" i="71"/>
  <c r="S284" i="71"/>
  <c r="G279" i="71"/>
  <c r="J156" i="71"/>
  <c r="J280" i="71"/>
  <c r="O285" i="71"/>
  <c r="C81" i="9"/>
  <c r="I263" i="71"/>
  <c r="J167" i="9"/>
  <c r="F266" i="71"/>
  <c r="H67" i="56"/>
  <c r="H269" i="71"/>
  <c r="K120" i="71"/>
  <c r="D138" i="39"/>
  <c r="D222" i="39"/>
  <c r="S283" i="71"/>
  <c r="G278" i="71"/>
  <c r="J161" i="9"/>
  <c r="C9" i="67"/>
  <c r="H14" i="37"/>
  <c r="C117" i="48"/>
  <c r="R279" i="71"/>
  <c r="J147" i="71"/>
  <c r="I292" i="71"/>
  <c r="K277" i="71"/>
  <c r="L283" i="71"/>
  <c r="P292" i="71"/>
  <c r="S266" i="71"/>
  <c r="G261" i="71"/>
  <c r="F14" i="67"/>
  <c r="J262" i="71"/>
  <c r="O267" i="71"/>
  <c r="L251" i="71"/>
  <c r="E79" i="9"/>
  <c r="D98" i="48"/>
  <c r="AB49" i="18"/>
  <c r="E134" i="9"/>
  <c r="F39" i="67"/>
  <c r="H292" i="71"/>
  <c r="N271" i="71"/>
  <c r="N258" i="71"/>
  <c r="G282" i="71"/>
  <c r="S297" i="71"/>
  <c r="E258" i="71"/>
  <c r="F27" i="28"/>
  <c r="J293" i="71"/>
  <c r="O298" i="71"/>
  <c r="D227" i="39"/>
  <c r="E283" i="71"/>
  <c r="F166" i="9"/>
  <c r="R277" i="71"/>
  <c r="F26" i="28"/>
  <c r="I287" i="71"/>
  <c r="K274" i="71"/>
  <c r="L281" i="71"/>
  <c r="P290" i="71"/>
  <c r="S264" i="71"/>
  <c r="J127" i="71"/>
  <c r="L21" i="67"/>
  <c r="J260" i="71"/>
  <c r="C90" i="31"/>
  <c r="L280" i="71"/>
  <c r="M265" i="71"/>
  <c r="D61" i="48"/>
  <c r="F20" i="28"/>
  <c r="D139" i="39"/>
  <c r="D243" i="39"/>
  <c r="P255" i="71"/>
  <c r="D295" i="71"/>
  <c r="M255" i="71"/>
  <c r="C15" i="67"/>
  <c r="H52" i="48"/>
  <c r="H266" i="71"/>
  <c r="E264" i="71"/>
  <c r="H53" i="48"/>
  <c r="G252" i="71"/>
  <c r="D289" i="71"/>
  <c r="H118" i="9"/>
  <c r="I150" i="71"/>
  <c r="E256" i="71"/>
  <c r="O252" i="71"/>
  <c r="I132" i="71"/>
  <c r="D253" i="71"/>
  <c r="I122" i="71"/>
  <c r="AE38" i="55"/>
  <c r="C68" i="31"/>
  <c r="E282" i="71"/>
  <c r="K67" i="56"/>
  <c r="J69" i="28"/>
  <c r="E299" i="71"/>
  <c r="D51" i="16"/>
  <c r="D95" i="9"/>
  <c r="R268" i="71"/>
  <c r="E133" i="31"/>
  <c r="F293" i="71"/>
  <c r="M293" i="71"/>
  <c r="D152" i="39"/>
  <c r="I257" i="71"/>
  <c r="K72" i="56"/>
  <c r="E135" i="31"/>
  <c r="I140" i="9"/>
  <c r="J274" i="71"/>
  <c r="D62" i="71"/>
  <c r="F63" i="71"/>
  <c r="C152" i="9"/>
  <c r="D147" i="39"/>
  <c r="H258" i="71"/>
  <c r="E177" i="9"/>
  <c r="F286" i="71"/>
  <c r="H299" i="71"/>
  <c r="N278" i="71"/>
  <c r="N262" i="71"/>
  <c r="G286" i="71"/>
  <c r="J124" i="71"/>
  <c r="E262" i="71"/>
  <c r="J129" i="71"/>
  <c r="J297" i="71"/>
  <c r="D245" i="39"/>
  <c r="E152" i="9"/>
  <c r="D251" i="39"/>
  <c r="J157" i="71"/>
  <c r="H28" i="81"/>
  <c r="D298" i="39"/>
  <c r="I156" i="71"/>
  <c r="K293" i="71"/>
  <c r="L293" i="71"/>
  <c r="F167" i="9"/>
  <c r="S276" i="71"/>
  <c r="G271" i="71"/>
  <c r="F177" i="9"/>
  <c r="J272" i="71"/>
  <c r="O277" i="71"/>
  <c r="F161" i="9"/>
  <c r="G128" i="31"/>
  <c r="I119" i="71"/>
  <c r="R299" i="71"/>
  <c r="E68" i="71"/>
  <c r="I121" i="71"/>
  <c r="K292" i="71"/>
  <c r="L292" i="71"/>
  <c r="Y43" i="18"/>
  <c r="S275" i="71"/>
  <c r="G270" i="71"/>
  <c r="N14" i="57"/>
  <c r="Q282" i="71"/>
  <c r="L166" i="9"/>
  <c r="H65" i="56"/>
  <c r="R263" i="71"/>
  <c r="D276" i="71"/>
  <c r="I278" i="71"/>
  <c r="G119" i="9"/>
  <c r="L275" i="71"/>
  <c r="P284" i="71"/>
  <c r="S258" i="71"/>
  <c r="D280" i="71"/>
  <c r="D248" i="39"/>
  <c r="J254" i="71"/>
  <c r="O259" i="71"/>
  <c r="P266" i="71"/>
  <c r="F134" i="31"/>
  <c r="D273" i="39"/>
  <c r="J137" i="9"/>
  <c r="F277" i="71"/>
  <c r="F16" i="67"/>
  <c r="H278" i="71"/>
  <c r="D291" i="39"/>
  <c r="K21" i="67"/>
  <c r="D198" i="39"/>
  <c r="S289" i="71"/>
  <c r="C19" i="67"/>
  <c r="D194" i="39"/>
  <c r="J285" i="71"/>
  <c r="O290" i="71"/>
  <c r="Q274" i="71"/>
  <c r="K265" i="71"/>
  <c r="E64" i="71"/>
  <c r="R261" i="71"/>
  <c r="I119" i="9"/>
  <c r="I276" i="71"/>
  <c r="M266" i="71"/>
  <c r="L273" i="71"/>
  <c r="P282" i="71"/>
  <c r="S256" i="71"/>
  <c r="J20" i="67"/>
  <c r="D240" i="39"/>
  <c r="I120" i="71"/>
  <c r="J151" i="71"/>
  <c r="H126" i="31"/>
  <c r="L272" i="71"/>
  <c r="O280" i="71"/>
  <c r="P263" i="71"/>
  <c r="D294" i="71"/>
  <c r="K18" i="67"/>
  <c r="E102" i="71"/>
  <c r="D292" i="71"/>
  <c r="G296" i="71"/>
  <c r="O278" i="71"/>
  <c r="P261" i="71"/>
  <c r="D267" i="71"/>
  <c r="E99" i="71"/>
  <c r="N11" i="28"/>
  <c r="H128" i="31"/>
  <c r="I70" i="28"/>
  <c r="I138" i="9"/>
  <c r="D54" i="48"/>
  <c r="J112" i="9"/>
  <c r="E118" i="9"/>
  <c r="G251" i="71"/>
  <c r="F18" i="67"/>
  <c r="F57" i="71"/>
  <c r="F274" i="71"/>
  <c r="AE41" i="55"/>
  <c r="C51" i="9"/>
  <c r="D63" i="71"/>
  <c r="Q287" i="71"/>
  <c r="D64" i="16"/>
  <c r="F23" i="67"/>
  <c r="D60" i="16"/>
  <c r="Q297" i="71"/>
  <c r="L59" i="28"/>
  <c r="M294" i="71"/>
  <c r="D176" i="39"/>
  <c r="D249" i="39"/>
  <c r="D208" i="39"/>
  <c r="K15" i="57"/>
  <c r="D189" i="31"/>
  <c r="H286" i="71"/>
  <c r="S294" i="71"/>
  <c r="O295" i="71"/>
  <c r="D258" i="71"/>
  <c r="G254" i="71"/>
  <c r="F22" i="28"/>
  <c r="D102" i="48"/>
  <c r="O12" i="28"/>
  <c r="D238" i="39"/>
  <c r="D185" i="39"/>
  <c r="H285" i="71"/>
  <c r="D259" i="39"/>
  <c r="N254" i="71"/>
  <c r="D119" i="9"/>
  <c r="S293" i="71"/>
  <c r="E254" i="71"/>
  <c r="J139" i="9"/>
  <c r="J289" i="71"/>
  <c r="O294" i="71"/>
  <c r="D217" i="39"/>
  <c r="E288" i="71"/>
  <c r="E172" i="9"/>
  <c r="R285" i="71"/>
  <c r="E59" i="71"/>
  <c r="I294" i="71"/>
  <c r="K279" i="71"/>
  <c r="L285" i="71"/>
  <c r="P294" i="71"/>
  <c r="S268" i="71"/>
  <c r="G263" i="71"/>
  <c r="D247" i="39"/>
  <c r="J264" i="71"/>
  <c r="D90" i="71"/>
  <c r="M15" i="57"/>
  <c r="C195" i="31"/>
  <c r="N10" i="28"/>
  <c r="R283" i="71"/>
  <c r="Y52" i="18"/>
  <c r="I293" i="71"/>
  <c r="K278" i="71"/>
  <c r="L284" i="71"/>
  <c r="P293" i="71"/>
  <c r="S267" i="71"/>
  <c r="G262" i="71"/>
  <c r="K152" i="9"/>
  <c r="H64" i="56"/>
  <c r="K16" i="67"/>
  <c r="Y42" i="18"/>
  <c r="AB44" i="18"/>
  <c r="Y48" i="18"/>
  <c r="N299" i="71"/>
  <c r="M258" i="71"/>
  <c r="G299" i="71"/>
  <c r="P276" i="71"/>
  <c r="I158" i="71"/>
  <c r="F254" i="71"/>
  <c r="E61" i="71"/>
  <c r="F47" i="67"/>
  <c r="O251" i="71"/>
  <c r="P258" i="71"/>
  <c r="F79" i="9"/>
  <c r="I255" i="71"/>
  <c r="J120" i="71"/>
  <c r="F261" i="71"/>
  <c r="F52" i="9"/>
  <c r="J131" i="71"/>
  <c r="D182" i="39"/>
  <c r="L298" i="71"/>
  <c r="H48" i="48"/>
  <c r="S281" i="71"/>
  <c r="G276" i="71"/>
  <c r="D205" i="39"/>
  <c r="J277" i="71"/>
  <c r="D50" i="16"/>
  <c r="M288" i="71"/>
  <c r="D193" i="39"/>
  <c r="D281" i="39"/>
  <c r="C177" i="9"/>
  <c r="H49" i="48"/>
  <c r="N295" i="71"/>
  <c r="M256" i="71"/>
  <c r="G297" i="71"/>
  <c r="P274" i="71"/>
  <c r="J252" i="71"/>
  <c r="F252" i="71"/>
  <c r="D300" i="39"/>
  <c r="Z52" i="18"/>
  <c r="E279" i="71"/>
  <c r="Q268" i="71"/>
  <c r="P281" i="71"/>
  <c r="O266" i="71"/>
  <c r="P252" i="71"/>
  <c r="H178" i="9"/>
  <c r="N40" i="57"/>
  <c r="E101" i="71"/>
  <c r="M287" i="71"/>
  <c r="P273" i="71"/>
  <c r="O265" i="71"/>
  <c r="P251" i="71"/>
  <c r="F289" i="71"/>
  <c r="J291" i="71"/>
  <c r="D256" i="71"/>
  <c r="D199" i="39"/>
  <c r="D285" i="71"/>
  <c r="O282" i="71"/>
  <c r="D197" i="39"/>
  <c r="L14" i="37"/>
  <c r="F71" i="71"/>
  <c r="D299" i="71"/>
  <c r="D51" i="48"/>
  <c r="D150" i="39"/>
  <c r="F73" i="56"/>
  <c r="G60" i="30"/>
  <c r="C80" i="48"/>
  <c r="Y51" i="18"/>
  <c r="M275" i="71"/>
  <c r="D80" i="48"/>
  <c r="C161" i="9"/>
  <c r="D283" i="39"/>
  <c r="F58" i="71"/>
  <c r="H166" i="9"/>
  <c r="J160" i="9"/>
  <c r="H280" i="71"/>
  <c r="E285" i="71"/>
  <c r="N281" i="71"/>
  <c r="N9" i="28"/>
  <c r="D275" i="39"/>
  <c r="J25" i="67"/>
  <c r="S278" i="71"/>
  <c r="O279" i="71"/>
  <c r="L263" i="71"/>
  <c r="D167" i="39"/>
  <c r="F105" i="9"/>
  <c r="F195" i="31"/>
  <c r="C118" i="9"/>
  <c r="F269" i="71"/>
  <c r="K126" i="71"/>
  <c r="H273" i="71"/>
  <c r="F43" i="67"/>
  <c r="D260" i="39"/>
  <c r="H60" i="48"/>
  <c r="S285" i="71"/>
  <c r="G280" i="71"/>
  <c r="D101" i="71"/>
  <c r="J281" i="71"/>
  <c r="D40" i="16"/>
  <c r="Q289" i="71"/>
  <c r="K40" i="57"/>
  <c r="D261" i="39"/>
  <c r="R269" i="71"/>
  <c r="D278" i="71"/>
  <c r="I282" i="71"/>
  <c r="K268" i="71"/>
  <c r="L277" i="71"/>
  <c r="P286" i="71"/>
  <c r="S260" i="71"/>
  <c r="D282" i="71"/>
  <c r="J25" i="57"/>
  <c r="J256" i="71"/>
  <c r="H95" i="71"/>
  <c r="Q285" i="71"/>
  <c r="L24" i="67"/>
  <c r="K22" i="67"/>
  <c r="R267" i="71"/>
  <c r="D277" i="71"/>
  <c r="I279" i="71"/>
  <c r="D59" i="71"/>
  <c r="L276" i="71"/>
  <c r="P285" i="71"/>
  <c r="S259" i="71"/>
  <c r="D281" i="71"/>
  <c r="J129" i="9"/>
  <c r="J15" i="57"/>
  <c r="Y46" i="18"/>
  <c r="G160" i="9"/>
  <c r="F294" i="71"/>
  <c r="I144" i="71"/>
  <c r="N286" i="71"/>
  <c r="N267" i="71"/>
  <c r="G291" i="71"/>
  <c r="P268" i="71"/>
  <c r="E267" i="71"/>
  <c r="F42" i="67"/>
  <c r="D128" i="31"/>
  <c r="E57" i="71"/>
  <c r="E100" i="71"/>
  <c r="J23" i="67"/>
  <c r="D80" i="9"/>
  <c r="C17" i="67"/>
  <c r="Z45" i="18"/>
  <c r="R294" i="71"/>
  <c r="D279" i="39"/>
  <c r="D276" i="39"/>
  <c r="K287" i="71"/>
  <c r="L290" i="71"/>
  <c r="P299" i="71"/>
  <c r="S273" i="71"/>
  <c r="G268" i="71"/>
  <c r="F28" i="28"/>
  <c r="J269" i="71"/>
  <c r="I129" i="9"/>
  <c r="J14" i="37"/>
  <c r="H267" i="71"/>
  <c r="D269" i="71"/>
  <c r="F290" i="71"/>
  <c r="D177" i="39"/>
  <c r="N283" i="71"/>
  <c r="N265" i="71"/>
  <c r="G289" i="71"/>
  <c r="AB47" i="18"/>
  <c r="E265" i="71"/>
  <c r="H87" i="71"/>
  <c r="F48" i="67"/>
  <c r="I134" i="9"/>
  <c r="K121" i="71"/>
  <c r="K259" i="71"/>
  <c r="S255" i="71"/>
  <c r="O256" i="71"/>
  <c r="C172" i="31"/>
  <c r="I175" i="71"/>
  <c r="K160" i="9"/>
  <c r="P289" i="71"/>
  <c r="D252" i="39"/>
  <c r="J251" i="71"/>
  <c r="O254" i="71"/>
  <c r="K24" i="57"/>
  <c r="J21" i="67"/>
  <c r="J259" i="71"/>
  <c r="L258" i="71"/>
  <c r="K36" i="16"/>
  <c r="H135" i="31"/>
  <c r="L262" i="71"/>
  <c r="H289" i="71"/>
  <c r="J287" i="71"/>
  <c r="D255" i="71"/>
  <c r="D216" i="39"/>
  <c r="L14" i="67"/>
  <c r="AE31" i="55"/>
  <c r="Q288" i="71"/>
  <c r="G66" i="13"/>
  <c r="D296" i="39"/>
  <c r="D142" i="39"/>
  <c r="K64" i="56"/>
  <c r="I254" i="71"/>
  <c r="K255" i="71"/>
  <c r="N268" i="71"/>
  <c r="G14" i="37"/>
  <c r="K289" i="71"/>
  <c r="I118" i="71"/>
  <c r="C166" i="31"/>
  <c r="D263" i="39"/>
  <c r="Z50" i="18"/>
  <c r="K295" i="71"/>
  <c r="G273" i="71"/>
  <c r="O263" i="71"/>
  <c r="D14" i="37"/>
  <c r="G30" i="16"/>
  <c r="D183" i="39"/>
  <c r="E294" i="71"/>
  <c r="K14" i="67"/>
  <c r="R286" i="71"/>
  <c r="K125" i="71"/>
  <c r="I295" i="71"/>
  <c r="K282" i="71"/>
  <c r="L286" i="71"/>
  <c r="P295" i="71"/>
  <c r="S269" i="71"/>
  <c r="G264" i="71"/>
  <c r="D66" i="71"/>
  <c r="J265" i="71"/>
  <c r="E120" i="31"/>
  <c r="M273" i="71"/>
  <c r="D166" i="39"/>
  <c r="C31" i="16"/>
  <c r="F297" i="71"/>
  <c r="D261" i="71"/>
  <c r="N288" i="71"/>
  <c r="M252" i="71"/>
  <c r="G293" i="71"/>
  <c r="P270" i="71"/>
  <c r="F26" i="67"/>
  <c r="J146" i="71"/>
  <c r="D280" i="39"/>
  <c r="D301" i="39"/>
  <c r="E166" i="31"/>
  <c r="M270" i="71"/>
  <c r="D71" i="71"/>
  <c r="C184" i="31"/>
  <c r="F296" i="71"/>
  <c r="D260" i="71"/>
  <c r="N287" i="71"/>
  <c r="M251" i="71"/>
  <c r="G292" i="71"/>
  <c r="P269" i="71"/>
  <c r="E268" i="71"/>
  <c r="H177" i="9"/>
  <c r="I95" i="9"/>
  <c r="I166" i="9"/>
  <c r="D178" i="9"/>
  <c r="F278" i="71"/>
  <c r="D271" i="39"/>
  <c r="H281" i="71"/>
  <c r="C22" i="67"/>
  <c r="N251" i="71"/>
  <c r="H195" i="31"/>
  <c r="S290" i="71"/>
  <c r="E251" i="71"/>
  <c r="F14" i="37"/>
  <c r="J286" i="71"/>
  <c r="O291" i="71"/>
  <c r="C172" i="71"/>
  <c r="G258" i="71"/>
  <c r="Q275" i="71"/>
  <c r="J17" i="67"/>
  <c r="D65" i="71"/>
  <c r="R262" i="71"/>
  <c r="D275" i="71"/>
  <c r="I277" i="71"/>
  <c r="M267" i="71"/>
  <c r="L274" i="71"/>
  <c r="P283" i="71"/>
  <c r="S257" i="71"/>
  <c r="D279" i="71"/>
  <c r="D173" i="39"/>
  <c r="J253" i="71"/>
  <c r="K69" i="56"/>
  <c r="F65" i="71"/>
  <c r="J31" i="57"/>
  <c r="F276" i="71"/>
  <c r="F33" i="67"/>
  <c r="H277" i="71"/>
  <c r="I177" i="71"/>
  <c r="D140" i="9"/>
  <c r="F29" i="67"/>
  <c r="S288" i="71"/>
  <c r="J22" i="67"/>
  <c r="D254" i="39"/>
  <c r="J284" i="71"/>
  <c r="O289" i="71"/>
  <c r="D221" i="39"/>
  <c r="R259" i="71"/>
  <c r="H102" i="71"/>
  <c r="C16" i="67"/>
  <c r="D179" i="39"/>
  <c r="K127" i="71"/>
  <c r="D136" i="9"/>
  <c r="O257" i="71"/>
  <c r="I14" i="37"/>
  <c r="D264" i="39"/>
  <c r="H101" i="71"/>
  <c r="F160" i="9"/>
  <c r="N264" i="71"/>
  <c r="O276" i="71"/>
  <c r="P260" i="71"/>
  <c r="K23" i="67"/>
  <c r="K123" i="71"/>
  <c r="C178" i="9"/>
  <c r="N256" i="71"/>
  <c r="O292" i="71"/>
  <c r="D224" i="39"/>
  <c r="D192" i="39"/>
  <c r="J275" i="71"/>
  <c r="I112" i="9"/>
  <c r="H66" i="56"/>
  <c r="AE51" i="55"/>
  <c r="I299" i="71"/>
  <c r="E255" i="71"/>
  <c r="H55" i="48"/>
  <c r="J273" i="71"/>
  <c r="M260" i="71"/>
  <c r="D69" i="31"/>
  <c r="P277" i="71"/>
  <c r="O299" i="71"/>
  <c r="I290" i="71"/>
  <c r="P9" i="28"/>
  <c r="D172" i="31"/>
  <c r="D266" i="39"/>
  <c r="D100" i="71"/>
  <c r="D212" i="39"/>
  <c r="L252" i="71"/>
  <c r="J140" i="9"/>
  <c r="F36" i="67"/>
  <c r="D96" i="9"/>
  <c r="E286" i="71"/>
  <c r="O271" i="71"/>
  <c r="F25" i="67"/>
  <c r="I67" i="13"/>
  <c r="L269" i="71"/>
  <c r="K132" i="71"/>
  <c r="S251" i="71"/>
  <c r="N272" i="71"/>
  <c r="D161" i="39"/>
  <c r="K276" i="71"/>
  <c r="D97" i="48"/>
  <c r="S296" i="71"/>
  <c r="H12" i="81"/>
  <c r="G253" i="71"/>
  <c r="J255" i="71"/>
  <c r="D220" i="39"/>
  <c r="J283" i="71"/>
  <c r="L266" i="71"/>
  <c r="D225" i="39"/>
  <c r="P265" i="71"/>
  <c r="L288" i="71"/>
  <c r="C34" i="16"/>
  <c r="N298" i="71"/>
  <c r="L255" i="71"/>
  <c r="K294" i="71"/>
  <c r="Q257" i="71"/>
  <c r="P278" i="71"/>
  <c r="G195" i="31"/>
  <c r="F255" i="71"/>
  <c r="N259" i="71"/>
  <c r="D55" i="48"/>
  <c r="L282" i="71"/>
  <c r="AB50" i="18"/>
  <c r="E257" i="71"/>
  <c r="G255" i="71"/>
  <c r="N280" i="71"/>
  <c r="L257" i="71"/>
  <c r="H276" i="71"/>
  <c r="H172" i="9"/>
  <c r="L256" i="71"/>
  <c r="F64" i="56"/>
  <c r="D135" i="31"/>
  <c r="I118" i="9"/>
  <c r="D292" i="39"/>
  <c r="K298" i="71"/>
  <c r="F31" i="67"/>
  <c r="L254" i="71"/>
  <c r="D195" i="31"/>
  <c r="D166" i="9"/>
  <c r="F54" i="67"/>
  <c r="G272" i="71"/>
  <c r="D219" i="39"/>
  <c r="H51" i="48"/>
  <c r="N270" i="71"/>
  <c r="F67" i="56"/>
  <c r="D252" i="71"/>
  <c r="G274" i="71"/>
  <c r="D282" i="39"/>
  <c r="D251" i="71"/>
  <c r="D104" i="48"/>
  <c r="D265" i="39"/>
  <c r="E112" i="9"/>
  <c r="L294" i="71"/>
  <c r="Z44" i="18"/>
  <c r="S252" i="71"/>
  <c r="R251" i="71"/>
  <c r="C89" i="31"/>
  <c r="G283" i="71"/>
  <c r="E178" i="9"/>
  <c r="P291" i="71"/>
  <c r="F172" i="9"/>
  <c r="H100" i="71"/>
  <c r="D291" i="71"/>
  <c r="O296" i="71"/>
  <c r="K31" i="16"/>
  <c r="E58" i="71"/>
  <c r="O288" i="71"/>
  <c r="D160" i="39"/>
  <c r="D298" i="71"/>
  <c r="F68" i="71"/>
  <c r="D296" i="71"/>
  <c r="Z51" i="18"/>
  <c r="L296" i="71"/>
  <c r="O286" i="71"/>
  <c r="P267" i="71"/>
  <c r="D297" i="71"/>
  <c r="O269" i="71"/>
  <c r="P253" i="71"/>
  <c r="H263" i="71"/>
  <c r="M259" i="71"/>
  <c r="R275" i="71"/>
  <c r="L20" i="67"/>
  <c r="G266" i="71"/>
  <c r="C175" i="71"/>
  <c r="S263" i="71"/>
  <c r="L265" i="71"/>
  <c r="O268" i="71"/>
  <c r="F80" i="48"/>
  <c r="K272" i="71"/>
  <c r="E68" i="31"/>
  <c r="D56" i="48"/>
  <c r="I126" i="71"/>
  <c r="F256" i="71"/>
  <c r="F30" i="67"/>
  <c r="L160" i="9"/>
  <c r="S298" i="71"/>
  <c r="E287" i="71"/>
  <c r="S265" i="71"/>
  <c r="C174" i="71"/>
  <c r="J292" i="71"/>
  <c r="D290" i="71"/>
  <c r="D58" i="71"/>
  <c r="P297" i="71"/>
  <c r="F38" i="67"/>
  <c r="O272" i="71"/>
  <c r="P257" i="71"/>
  <c r="I146" i="71"/>
  <c r="C166" i="9"/>
  <c r="J154" i="71"/>
  <c r="E80" i="48"/>
  <c r="H40" i="16"/>
  <c r="O270" i="71"/>
  <c r="P256" i="71"/>
  <c r="J119" i="71"/>
  <c r="D209" i="39"/>
  <c r="M10" i="28"/>
  <c r="D50" i="48"/>
  <c r="D184" i="31"/>
  <c r="R278" i="71"/>
  <c r="C79" i="48"/>
  <c r="C172" i="9"/>
  <c r="D237" i="39"/>
  <c r="G259" i="71"/>
  <c r="F21" i="67"/>
  <c r="D155" i="39"/>
  <c r="F66" i="13"/>
  <c r="C46" i="48"/>
  <c r="N13" i="28"/>
  <c r="S277" i="71"/>
  <c r="R253" i="71"/>
  <c r="K31" i="57"/>
  <c r="I268" i="71"/>
  <c r="N8" i="28"/>
  <c r="E259" i="71"/>
  <c r="F60" i="71"/>
  <c r="G260" i="71"/>
  <c r="H291" i="71"/>
  <c r="O297" i="71"/>
  <c r="J271" i="71"/>
  <c r="D203" i="39"/>
  <c r="L253" i="71"/>
  <c r="S287" i="71"/>
  <c r="O261" i="71"/>
  <c r="H119" i="9"/>
  <c r="I147" i="71"/>
  <c r="K285" i="71"/>
  <c r="D274" i="39"/>
  <c r="F64" i="71"/>
  <c r="S279" i="71"/>
  <c r="O260" i="71"/>
  <c r="N20" i="57"/>
  <c r="D207" i="39"/>
  <c r="I172" i="9"/>
  <c r="Y45" i="18"/>
  <c r="F41" i="67"/>
  <c r="F50" i="67"/>
  <c r="I135" i="31"/>
  <c r="S271" i="71"/>
  <c r="J117" i="71"/>
  <c r="D299" i="39"/>
  <c r="J24" i="67"/>
  <c r="H68" i="56"/>
  <c r="J148" i="71"/>
  <c r="H31" i="16"/>
  <c r="F135" i="31"/>
  <c r="D112" i="9"/>
  <c r="I269" i="71"/>
  <c r="H91" i="71"/>
  <c r="L268" i="71"/>
  <c r="F37" i="67"/>
  <c r="J294" i="71"/>
  <c r="F27" i="67"/>
  <c r="J261" i="71"/>
  <c r="N257" i="71"/>
  <c r="D287" i="39"/>
  <c r="F251" i="71"/>
  <c r="K41" i="57"/>
  <c r="G256" i="71"/>
  <c r="J166" i="9"/>
  <c r="G177" i="9"/>
  <c r="K20" i="67"/>
  <c r="H26" i="81"/>
  <c r="O284" i="71"/>
  <c r="H27" i="81"/>
  <c r="I148" i="71"/>
  <c r="D21" i="28"/>
  <c r="N36" i="57"/>
  <c r="I152" i="71"/>
  <c r="D53" i="16"/>
  <c r="D293" i="71"/>
  <c r="H293" i="71"/>
  <c r="D127" i="31"/>
  <c r="F259" i="71"/>
  <c r="N269" i="71"/>
  <c r="D156" i="39"/>
  <c r="K131" i="71"/>
  <c r="G50" i="16"/>
  <c r="Z42" i="18"/>
  <c r="F55" i="9"/>
  <c r="R291" i="71"/>
  <c r="J279" i="71"/>
  <c r="C13" i="67"/>
  <c r="I74" i="56"/>
  <c r="J63" i="56"/>
  <c r="J69" i="56"/>
  <c r="L71" i="56"/>
  <c r="L66" i="56"/>
  <c r="L61" i="56"/>
  <c r="I73" i="56"/>
  <c r="K61" i="56"/>
  <c r="J70" i="56"/>
  <c r="L69" i="56"/>
  <c r="J13" i="67"/>
  <c r="I68" i="56"/>
  <c r="J68" i="56"/>
  <c r="I72" i="56"/>
  <c r="J74" i="56"/>
  <c r="J66" i="56"/>
  <c r="J73" i="56"/>
  <c r="L73" i="56"/>
  <c r="I62" i="56"/>
  <c r="L64" i="56"/>
  <c r="I67" i="56"/>
  <c r="I63" i="56"/>
  <c r="L74" i="56"/>
  <c r="K13" i="67"/>
  <c r="L13" i="67"/>
  <c r="J71" i="56"/>
  <c r="I64" i="56"/>
  <c r="L67" i="56"/>
  <c r="J61" i="56"/>
  <c r="I61" i="56"/>
  <c r="I69" i="56"/>
  <c r="L63" i="56"/>
  <c r="J64" i="56"/>
  <c r="J67" i="56"/>
  <c r="J65" i="56"/>
  <c r="I65" i="56"/>
  <c r="L62" i="56"/>
  <c r="L70" i="56"/>
  <c r="L68" i="56"/>
  <c r="L72" i="56"/>
  <c r="J72" i="56"/>
  <c r="I70" i="56"/>
  <c r="J62" i="56"/>
  <c r="I66" i="56"/>
  <c r="L65" i="56"/>
  <c r="I71" i="56"/>
  <c r="K131" i="83" l="1"/>
  <c r="V132" i="83"/>
  <c r="X132" i="83" s="1"/>
  <c r="X133" i="83" s="1"/>
  <c r="X134" i="83" s="1"/>
  <c r="X135" i="83" s="1"/>
  <c r="N62" i="72"/>
  <c r="N173" i="71"/>
  <c r="I178" i="71"/>
  <c r="I179" i="71"/>
  <c r="I180" i="71"/>
  <c r="I181" i="71"/>
  <c r="I182" i="71"/>
  <c r="I183" i="71"/>
  <c r="I184" i="71"/>
  <c r="I185" i="71"/>
  <c r="I186" i="71"/>
  <c r="I187" i="71"/>
  <c r="I188" i="71"/>
  <c r="I189" i="71"/>
  <c r="I190" i="71"/>
  <c r="I191" i="71"/>
  <c r="I192" i="71"/>
  <c r="D52" i="30"/>
  <c r="D53" i="30"/>
  <c r="D54" i="30"/>
  <c r="D55" i="30"/>
  <c r="D56" i="30"/>
  <c r="D57" i="30"/>
  <c r="D58" i="30"/>
  <c r="D59" i="30"/>
  <c r="D60" i="30"/>
  <c r="D61" i="30"/>
  <c r="D62" i="30"/>
  <c r="D51" i="30"/>
  <c r="L54" i="56"/>
  <c r="I54" i="56"/>
  <c r="C31" i="50"/>
  <c r="L55" i="57"/>
  <c r="C32" i="50"/>
  <c r="E68" i="15"/>
  <c r="E67" i="15"/>
  <c r="E66" i="15"/>
  <c r="E65" i="15"/>
  <c r="F65" i="15" s="1"/>
  <c r="E80" i="30"/>
  <c r="E79" i="30"/>
  <c r="E78" i="30"/>
  <c r="E77" i="30"/>
  <c r="E76" i="30"/>
  <c r="E75" i="30"/>
  <c r="F74" i="30" s="1"/>
  <c r="E74" i="30"/>
  <c r="N73" i="72"/>
  <c r="N72" i="72"/>
  <c r="N71" i="72"/>
  <c r="N70" i="72"/>
  <c r="N69" i="72"/>
  <c r="N68" i="72"/>
  <c r="N67" i="72"/>
  <c r="N66" i="72"/>
  <c r="N65" i="72"/>
  <c r="N64" i="72"/>
  <c r="N63" i="72"/>
  <c r="N61" i="72"/>
  <c r="N60" i="72"/>
  <c r="N59" i="72"/>
  <c r="N58" i="72"/>
  <c r="N57" i="72"/>
  <c r="N56" i="72"/>
  <c r="N55" i="72"/>
  <c r="N54" i="72"/>
  <c r="N53" i="72"/>
  <c r="N52" i="72"/>
  <c r="N51" i="72"/>
  <c r="N50" i="72"/>
  <c r="N49" i="72"/>
  <c r="N48" i="72"/>
  <c r="N47" i="72"/>
  <c r="N46" i="72"/>
  <c r="N45" i="72"/>
  <c r="N44" i="72"/>
  <c r="N43" i="72"/>
  <c r="N42" i="72"/>
  <c r="N41" i="72"/>
  <c r="N40" i="72"/>
  <c r="N39" i="72"/>
  <c r="N177" i="71"/>
  <c r="N176" i="71"/>
  <c r="N175" i="71"/>
  <c r="N174" i="71"/>
  <c r="N172" i="71"/>
  <c r="N171" i="71"/>
  <c r="M138" i="71"/>
  <c r="K138" i="71"/>
  <c r="J138" i="71"/>
  <c r="I138" i="71"/>
  <c r="P137" i="71"/>
  <c r="O137" i="71"/>
  <c r="N137" i="71"/>
  <c r="M137" i="71"/>
  <c r="K137" i="71"/>
  <c r="J137" i="71"/>
  <c r="I137" i="71"/>
  <c r="P136" i="71"/>
  <c r="N136" i="71"/>
  <c r="M136" i="71"/>
  <c r="O136" i="71"/>
  <c r="K136" i="71"/>
  <c r="J136" i="71"/>
  <c r="I136" i="71"/>
  <c r="O135" i="71"/>
  <c r="K135" i="71"/>
  <c r="J135" i="71"/>
  <c r="I135" i="71"/>
  <c r="O134" i="71"/>
  <c r="K134" i="71"/>
  <c r="J134" i="71"/>
  <c r="I134" i="71"/>
  <c r="O133" i="71"/>
  <c r="K133" i="71"/>
  <c r="J133" i="71"/>
  <c r="I133" i="71"/>
  <c r="P132" i="71"/>
  <c r="N132" i="71"/>
  <c r="M132" i="71"/>
  <c r="P131" i="71"/>
  <c r="N131" i="71"/>
  <c r="M131" i="71"/>
  <c r="P130" i="71"/>
  <c r="N130" i="71"/>
  <c r="M130" i="71"/>
  <c r="P129" i="71"/>
  <c r="N129" i="71"/>
  <c r="M129" i="71"/>
  <c r="P128" i="71"/>
  <c r="N128" i="71"/>
  <c r="M128" i="71"/>
  <c r="P127" i="71"/>
  <c r="N127" i="71"/>
  <c r="M127" i="71"/>
  <c r="P126" i="71"/>
  <c r="N126" i="71"/>
  <c r="M126" i="71"/>
  <c r="O126" i="71" s="1"/>
  <c r="P125" i="71"/>
  <c r="N125" i="71"/>
  <c r="M125" i="71"/>
  <c r="O125" i="71" s="1"/>
  <c r="P124" i="71"/>
  <c r="N124" i="71"/>
  <c r="M124" i="71"/>
  <c r="P123" i="71"/>
  <c r="N123" i="71"/>
  <c r="M123" i="71"/>
  <c r="P122" i="71"/>
  <c r="N122" i="71"/>
  <c r="M122" i="71"/>
  <c r="P121" i="71"/>
  <c r="N121" i="71"/>
  <c r="M121" i="71"/>
  <c r="P120" i="71"/>
  <c r="N120" i="71"/>
  <c r="M120" i="71"/>
  <c r="P119" i="71"/>
  <c r="N119" i="71"/>
  <c r="M119" i="71"/>
  <c r="P118" i="71"/>
  <c r="N118" i="71"/>
  <c r="M118" i="71"/>
  <c r="O118" i="71" s="1"/>
  <c r="N117" i="71"/>
  <c r="M117" i="71"/>
  <c r="B116" i="71"/>
  <c r="E107" i="71"/>
  <c r="D107" i="71"/>
  <c r="E106" i="71"/>
  <c r="D106" i="71"/>
  <c r="C82" i="71"/>
  <c r="C80" i="71"/>
  <c r="F77" i="71"/>
  <c r="E77" i="71"/>
  <c r="D77" i="71"/>
  <c r="F76" i="71"/>
  <c r="E76" i="71"/>
  <c r="D76" i="71"/>
  <c r="F75" i="71"/>
  <c r="E75" i="71"/>
  <c r="D75" i="71"/>
  <c r="G16" i="39"/>
  <c r="G15" i="39"/>
  <c r="G14" i="39"/>
  <c r="G13" i="39"/>
  <c r="G12" i="39"/>
  <c r="G11" i="39"/>
  <c r="C261" i="41"/>
  <c r="L201" i="18"/>
  <c r="K201" i="18"/>
  <c r="D43" i="13"/>
  <c r="C43" i="13" s="1"/>
  <c r="D42" i="13"/>
  <c r="C42" i="13" s="1"/>
  <c r="I177" i="31"/>
  <c r="G177" i="31" s="1"/>
  <c r="H177" i="31"/>
  <c r="F178" i="31" s="1"/>
  <c r="N135" i="31"/>
  <c r="L135" i="31"/>
  <c r="B135" i="31"/>
  <c r="N134" i="31"/>
  <c r="L134" i="31"/>
  <c r="B134" i="31"/>
  <c r="N133" i="31"/>
  <c r="L133" i="31"/>
  <c r="N128" i="31"/>
  <c r="L128" i="31"/>
  <c r="B128" i="31"/>
  <c r="N127" i="31"/>
  <c r="L127" i="31"/>
  <c r="B127" i="31"/>
  <c r="N126" i="31"/>
  <c r="L126" i="31"/>
  <c r="J120" i="31"/>
  <c r="K120" i="31" s="1"/>
  <c r="G120" i="31"/>
  <c r="H120" i="31" s="1"/>
  <c r="I120" i="31" s="1"/>
  <c r="K119" i="31"/>
  <c r="F100" i="31"/>
  <c r="C105" i="9"/>
  <c r="C104" i="9"/>
  <c r="C103" i="9"/>
  <c r="C97" i="9"/>
  <c r="C96" i="9"/>
  <c r="C95" i="9"/>
  <c r="I49" i="28"/>
  <c r="E36" i="28"/>
  <c r="E35" i="28"/>
  <c r="K13" i="28"/>
  <c r="K12" i="28"/>
  <c r="K11" i="28"/>
  <c r="K10" i="28"/>
  <c r="K9" i="28"/>
  <c r="K8" i="28"/>
  <c r="C41" i="35"/>
  <c r="D41" i="35"/>
  <c r="K36" i="55"/>
  <c r="O35" i="55"/>
  <c r="G39" i="72"/>
  <c r="H30" i="55"/>
  <c r="H33" i="72"/>
  <c r="K39" i="72"/>
  <c r="B14" i="57"/>
  <c r="E14" i="57"/>
  <c r="G36" i="55"/>
  <c r="P30" i="55"/>
  <c r="Q63" i="57"/>
  <c r="N63" i="57"/>
  <c r="B35" i="55"/>
  <c r="B38" i="72"/>
  <c r="I137" i="41"/>
  <c r="E31" i="50"/>
  <c r="C134" i="39"/>
  <c r="B12" i="65"/>
  <c r="C11" i="39"/>
  <c r="J127" i="48"/>
  <c r="C94" i="41"/>
  <c r="E123" i="41"/>
  <c r="C80" i="41"/>
  <c r="C112" i="41"/>
  <c r="C45" i="41"/>
  <c r="C111" i="41"/>
  <c r="C55" i="41"/>
  <c r="B137" i="41"/>
  <c r="C109" i="41"/>
  <c r="B123" i="41"/>
  <c r="C113" i="41"/>
  <c r="H123" i="41"/>
  <c r="D66" i="41"/>
  <c r="D228" i="41"/>
  <c r="B228" i="41"/>
  <c r="C244" i="71"/>
  <c r="C247" i="71"/>
  <c r="C201" i="71"/>
  <c r="D6" i="78"/>
  <c r="C220" i="71"/>
  <c r="C235" i="71"/>
  <c r="C231" i="71"/>
  <c r="C225" i="71"/>
  <c r="C246" i="71"/>
  <c r="C238" i="71"/>
  <c r="C199" i="71"/>
  <c r="C211" i="71"/>
  <c r="C232" i="71"/>
  <c r="C55" i="71"/>
  <c r="C227" i="71"/>
  <c r="C230" i="71"/>
  <c r="C209" i="71"/>
  <c r="C56" i="39"/>
  <c r="D27" i="78"/>
  <c r="C215" i="71"/>
  <c r="C219" i="71"/>
  <c r="B22" i="56"/>
  <c r="B24" i="56"/>
  <c r="C234" i="71"/>
  <c r="E109" i="39"/>
  <c r="C214" i="71"/>
  <c r="B143" i="71"/>
  <c r="C213" i="71"/>
  <c r="C245" i="71"/>
  <c r="D20" i="78"/>
  <c r="C240" i="71"/>
  <c r="C239" i="71"/>
  <c r="C237" i="71"/>
  <c r="C242" i="71"/>
  <c r="C205" i="71"/>
  <c r="C204" i="71"/>
  <c r="C224" i="71"/>
  <c r="B55" i="71"/>
  <c r="B35" i="39"/>
  <c r="C216" i="71"/>
  <c r="C228" i="71"/>
  <c r="C236" i="71"/>
  <c r="B117" i="71"/>
  <c r="D13" i="78"/>
  <c r="C88" i="39"/>
  <c r="C203" i="71"/>
  <c r="C222" i="71"/>
  <c r="C223" i="71"/>
  <c r="C229" i="71"/>
  <c r="C208" i="71"/>
  <c r="C226" i="71"/>
  <c r="C206" i="71"/>
  <c r="C243" i="71"/>
  <c r="C218" i="71"/>
  <c r="B60" i="56"/>
  <c r="G58" i="39"/>
  <c r="B94" i="48"/>
  <c r="J11" i="39"/>
  <c r="C45" i="39"/>
  <c r="C22" i="39"/>
  <c r="C217" i="71"/>
  <c r="C202" i="71"/>
  <c r="C233" i="71"/>
  <c r="A1" i="82"/>
  <c r="C221" i="71"/>
  <c r="C207" i="71"/>
  <c r="C200" i="71"/>
  <c r="C212" i="71"/>
  <c r="C210" i="71"/>
  <c r="C241" i="71"/>
  <c r="B12" i="56"/>
  <c r="V51" i="55"/>
  <c r="V55" i="55" s="1"/>
  <c r="B10" i="57"/>
  <c r="G34" i="72"/>
  <c r="G31" i="55"/>
  <c r="G14" i="16"/>
  <c r="D56" i="13"/>
  <c r="C3" i="51"/>
  <c r="O31" i="55"/>
  <c r="D54" i="13"/>
  <c r="D53" i="13"/>
  <c r="C51" i="13"/>
  <c r="G16" i="16"/>
  <c r="F140" i="39"/>
  <c r="G11" i="16"/>
  <c r="D51" i="13"/>
  <c r="C53" i="13"/>
  <c r="G17" i="16"/>
  <c r="D46" i="35"/>
  <c r="K31" i="55"/>
  <c r="C50" i="13"/>
  <c r="D55" i="13"/>
  <c r="G13" i="16"/>
  <c r="C46" i="35"/>
  <c r="J50" i="57"/>
  <c r="N51" i="57"/>
  <c r="O51" i="57"/>
  <c r="B31" i="56"/>
  <c r="D48" i="13"/>
  <c r="C52" i="13"/>
  <c r="E39" i="65"/>
  <c r="C49" i="13"/>
  <c r="D39" i="65"/>
  <c r="G15" i="16"/>
  <c r="N54" i="57"/>
  <c r="O53" i="57"/>
  <c r="N62" i="57"/>
  <c r="B157" i="41"/>
  <c r="C55" i="13"/>
  <c r="D52" i="13"/>
  <c r="G12" i="16"/>
  <c r="M54" i="57"/>
  <c r="K34" i="72"/>
  <c r="B14" i="56"/>
  <c r="B175" i="41"/>
  <c r="C48" i="13"/>
  <c r="C56" i="13"/>
  <c r="O52" i="57"/>
  <c r="D49" i="13"/>
  <c r="C54" i="13"/>
  <c r="F39" i="65"/>
  <c r="N55" i="57"/>
  <c r="Q62" i="57"/>
  <c r="D50" i="13"/>
  <c r="M52" i="57"/>
  <c r="N53" i="57"/>
  <c r="M51" i="57"/>
  <c r="M55" i="57"/>
  <c r="N52" i="57"/>
  <c r="O54" i="57"/>
  <c r="O55" i="57"/>
  <c r="C24" i="81"/>
  <c r="D94" i="71"/>
  <c r="K28" i="67"/>
  <c r="D91" i="71"/>
  <c r="L28" i="67"/>
  <c r="B17" i="19"/>
  <c r="D95" i="71"/>
  <c r="C105" i="83"/>
  <c r="D96" i="71"/>
  <c r="J28" i="67"/>
  <c r="K105" i="83"/>
  <c r="C9" i="81"/>
  <c r="X136" i="83" l="1"/>
  <c r="X137" i="83" s="1"/>
  <c r="X138" i="83" s="1"/>
  <c r="X139" i="83" s="1"/>
  <c r="X140" i="83" s="1"/>
  <c r="O124" i="71"/>
  <c r="O132" i="71"/>
  <c r="O119" i="71"/>
  <c r="O120" i="71"/>
  <c r="O128" i="71"/>
  <c r="O123" i="71"/>
  <c r="O131" i="71"/>
  <c r="O121" i="71"/>
  <c r="O129" i="71"/>
  <c r="O117" i="71"/>
  <c r="C262" i="41"/>
  <c r="O127" i="71"/>
  <c r="O122" i="71"/>
  <c r="O130" i="71"/>
  <c r="P117" i="71"/>
  <c r="G178" i="31"/>
  <c r="F177" i="31"/>
  <c r="F35" i="30"/>
  <c r="F157" i="31"/>
  <c r="F158" i="31"/>
  <c r="F34" i="30"/>
  <c r="F156" i="31"/>
  <c r="F44" i="30"/>
  <c r="F33" i="30"/>
  <c r="F55" i="71"/>
  <c r="D55" i="71"/>
  <c r="E55" i="71"/>
  <c r="B273" i="41"/>
  <c r="M53" i="57"/>
  <c r="D25" i="65"/>
  <c r="E23" i="65"/>
  <c r="F21" i="65"/>
  <c r="F30" i="65"/>
  <c r="E19" i="65"/>
  <c r="E14" i="65"/>
  <c r="E15" i="65"/>
  <c r="E26" i="65"/>
  <c r="F29" i="65"/>
  <c r="E24" i="65"/>
  <c r="D14" i="65"/>
  <c r="E28" i="65"/>
  <c r="D30" i="65"/>
  <c r="F16" i="65"/>
  <c r="F27" i="65"/>
  <c r="F31" i="65"/>
  <c r="D22" i="65"/>
  <c r="D26" i="65"/>
  <c r="E16" i="65"/>
  <c r="E21" i="65"/>
  <c r="F15" i="65"/>
  <c r="D18" i="65"/>
  <c r="E27" i="65"/>
  <c r="E56" i="13"/>
  <c r="F20" i="65"/>
  <c r="F17" i="65"/>
  <c r="F19" i="65"/>
  <c r="F28" i="65"/>
  <c r="F14" i="65"/>
  <c r="E18" i="65"/>
  <c r="E25" i="65"/>
  <c r="E17" i="65"/>
  <c r="D21" i="65"/>
  <c r="E53" i="13"/>
  <c r="E13" i="65"/>
  <c r="E29" i="65"/>
  <c r="D23" i="65"/>
  <c r="F26" i="65"/>
  <c r="E55" i="13"/>
  <c r="E52" i="13"/>
  <c r="D24" i="65"/>
  <c r="F23" i="65"/>
  <c r="D19" i="65"/>
  <c r="D28" i="65"/>
  <c r="D20" i="65"/>
  <c r="D17" i="65"/>
  <c r="F13" i="65"/>
  <c r="E20" i="65"/>
  <c r="E51" i="13"/>
  <c r="F22" i="65"/>
  <c r="D15" i="65"/>
  <c r="D31" i="65"/>
  <c r="E31" i="65"/>
  <c r="F24" i="65"/>
  <c r="E22" i="65"/>
  <c r="D13" i="65"/>
  <c r="E30" i="65"/>
  <c r="D29" i="65"/>
  <c r="D16" i="65"/>
  <c r="E50" i="13"/>
  <c r="F18" i="65"/>
  <c r="E49" i="13"/>
  <c r="E54" i="13"/>
  <c r="F25" i="65"/>
  <c r="D27" i="65"/>
  <c r="E48" i="13"/>
  <c r="F55" i="13" l="1"/>
  <c r="F50" i="13"/>
  <c r="F51" i="13"/>
  <c r="F48" i="13"/>
  <c r="F56" i="13"/>
  <c r="F49" i="13"/>
  <c r="F52" i="13"/>
  <c r="F54" i="13"/>
  <c r="F53" i="13"/>
  <c r="D48" i="49"/>
  <c r="S37" i="26"/>
  <c r="I11" i="41"/>
  <c r="S36" i="26"/>
  <c r="J13" i="41"/>
  <c r="B83" i="71"/>
  <c r="R13" i="26"/>
  <c r="C127" i="9"/>
  <c r="E53" i="9"/>
  <c r="W48" i="18"/>
  <c r="L36" i="16"/>
  <c r="G49" i="71"/>
  <c r="B225" i="18"/>
  <c r="G58" i="71"/>
  <c r="X47" i="18"/>
  <c r="W45" i="18"/>
  <c r="X42" i="18"/>
  <c r="R37" i="26"/>
  <c r="C129" i="9"/>
  <c r="AA49" i="18"/>
  <c r="S28" i="26"/>
  <c r="H70" i="71"/>
  <c r="I58" i="28"/>
  <c r="J19" i="41"/>
  <c r="I35" i="15"/>
  <c r="G63" i="71"/>
  <c r="G64" i="71"/>
  <c r="G57" i="71"/>
  <c r="F88" i="71"/>
  <c r="G96" i="71"/>
  <c r="G102" i="71"/>
  <c r="G99" i="71"/>
  <c r="F95" i="71"/>
  <c r="AA50" i="18"/>
  <c r="H61" i="71"/>
  <c r="S19" i="26"/>
  <c r="I42" i="15"/>
  <c r="R38" i="26"/>
  <c r="X46" i="18"/>
  <c r="R28" i="26"/>
  <c r="J14" i="41"/>
  <c r="S18" i="26"/>
  <c r="X49" i="18"/>
  <c r="C23" i="47"/>
  <c r="S35" i="26"/>
  <c r="C21" i="47"/>
  <c r="C34" i="49"/>
  <c r="S13" i="26"/>
  <c r="L31" i="16"/>
  <c r="H68" i="71"/>
  <c r="R15" i="26"/>
  <c r="G55" i="71"/>
  <c r="W44" i="18"/>
  <c r="AA44" i="18"/>
  <c r="D128" i="9"/>
  <c r="R33" i="26"/>
  <c r="C20" i="47"/>
  <c r="W51" i="18"/>
  <c r="F81" i="71"/>
  <c r="AA31" i="55"/>
  <c r="R21" i="26"/>
  <c r="H86" i="71"/>
  <c r="I41" i="15"/>
  <c r="G59" i="71"/>
  <c r="G67" i="71"/>
  <c r="G93" i="71"/>
  <c r="G91" i="71"/>
  <c r="F101" i="71"/>
  <c r="G100" i="71"/>
  <c r="G97" i="71"/>
  <c r="R26" i="26"/>
  <c r="AA51" i="18"/>
  <c r="G127" i="9"/>
  <c r="S30" i="26"/>
  <c r="F39" i="28"/>
  <c r="G61" i="71"/>
  <c r="F89" i="71"/>
  <c r="C189" i="41"/>
  <c r="AA48" i="18"/>
  <c r="S38" i="26"/>
  <c r="X50" i="18"/>
  <c r="R35" i="26"/>
  <c r="C18" i="47"/>
  <c r="S12" i="26"/>
  <c r="S24" i="26"/>
  <c r="G112" i="31"/>
  <c r="C22" i="47"/>
  <c r="J15" i="41"/>
  <c r="R19" i="26"/>
  <c r="X48" i="18"/>
  <c r="I60" i="28"/>
  <c r="H55" i="71"/>
  <c r="H71" i="71"/>
  <c r="C128" i="9"/>
  <c r="H65" i="71"/>
  <c r="W43" i="18"/>
  <c r="X43" i="18"/>
  <c r="J16" i="41"/>
  <c r="S25" i="26"/>
  <c r="G129" i="9"/>
  <c r="S34" i="26"/>
  <c r="D86" i="71"/>
  <c r="I38" i="15"/>
  <c r="H67" i="71"/>
  <c r="G71" i="71"/>
  <c r="G87" i="71"/>
  <c r="F98" i="71"/>
  <c r="F100" i="71"/>
  <c r="G94" i="71"/>
  <c r="S21" i="26"/>
  <c r="S31" i="26"/>
  <c r="F127" i="9"/>
  <c r="G98" i="71"/>
  <c r="S23" i="26"/>
  <c r="D126" i="9"/>
  <c r="I59" i="28"/>
  <c r="R32" i="26"/>
  <c r="X52" i="18"/>
  <c r="W42" i="18"/>
  <c r="R20" i="26"/>
  <c r="F32" i="15"/>
  <c r="L41" i="16"/>
  <c r="C83" i="71"/>
  <c r="S33" i="26"/>
  <c r="B51" i="30"/>
  <c r="S14" i="26"/>
  <c r="J103" i="9"/>
  <c r="L35" i="16"/>
  <c r="G65" i="71"/>
  <c r="S15" i="26"/>
  <c r="G62" i="71"/>
  <c r="D127" i="9"/>
  <c r="W50" i="18"/>
  <c r="G68" i="71"/>
  <c r="K58" i="28"/>
  <c r="F128" i="9"/>
  <c r="D52" i="9"/>
  <c r="E86" i="71"/>
  <c r="I37" i="15"/>
  <c r="G69" i="71"/>
  <c r="G60" i="71"/>
  <c r="F99" i="71"/>
  <c r="G90" i="71"/>
  <c r="F97" i="71"/>
  <c r="G92" i="71"/>
  <c r="F102" i="71"/>
  <c r="J60" i="28"/>
  <c r="G128" i="9"/>
  <c r="J17" i="41"/>
  <c r="H59" i="71"/>
  <c r="G89" i="71"/>
  <c r="AA45" i="18"/>
  <c r="D55" i="9"/>
  <c r="L30" i="16"/>
  <c r="R24" i="26"/>
  <c r="C19" i="47"/>
  <c r="L40" i="16"/>
  <c r="W47" i="18"/>
  <c r="R34" i="26"/>
  <c r="E11" i="41"/>
  <c r="G126" i="9"/>
  <c r="X45" i="18"/>
  <c r="F40" i="28"/>
  <c r="F129" i="9"/>
  <c r="H57" i="71"/>
  <c r="K60" i="28"/>
  <c r="R36" i="26"/>
  <c r="D53" i="9"/>
  <c r="S26" i="26"/>
  <c r="I14" i="19"/>
  <c r="E55" i="9"/>
  <c r="H58" i="71"/>
  <c r="S17" i="26"/>
  <c r="R29" i="26"/>
  <c r="W46" i="18"/>
  <c r="I36" i="15"/>
  <c r="I39" i="15"/>
  <c r="H62" i="71"/>
  <c r="H64" i="71"/>
  <c r="F87" i="71"/>
  <c r="X51" i="18"/>
  <c r="F126" i="9"/>
  <c r="E54" i="9"/>
  <c r="R25" i="26"/>
  <c r="H60" i="71"/>
  <c r="AA47" i="18"/>
  <c r="S20" i="26"/>
  <c r="D11" i="41"/>
  <c r="E48" i="49"/>
  <c r="AA43" i="18"/>
  <c r="I10" i="57"/>
  <c r="R14" i="26"/>
  <c r="W49" i="18"/>
  <c r="F41" i="28"/>
  <c r="AA42" i="18"/>
  <c r="D54" i="9"/>
  <c r="B32" i="15"/>
  <c r="R18" i="26"/>
  <c r="R23" i="26"/>
  <c r="C188" i="41"/>
  <c r="J59" i="28"/>
  <c r="S32" i="26"/>
  <c r="G35" i="56"/>
  <c r="S16" i="26"/>
  <c r="G70" i="71"/>
  <c r="G66" i="71"/>
  <c r="R22" i="26"/>
  <c r="D51" i="9"/>
  <c r="R16" i="26"/>
  <c r="I32" i="15"/>
  <c r="I34" i="15"/>
  <c r="H56" i="71"/>
  <c r="G56" i="71"/>
  <c r="F94" i="71"/>
  <c r="F96" i="71"/>
  <c r="F93" i="71"/>
  <c r="G88" i="71"/>
  <c r="K140" i="71"/>
  <c r="C17" i="47"/>
  <c r="H117" i="48"/>
  <c r="C12" i="47"/>
  <c r="F90" i="71"/>
  <c r="R17" i="26"/>
  <c r="D129" i="9"/>
  <c r="AA46" i="18"/>
  <c r="AA52" i="18"/>
  <c r="E51" i="9"/>
  <c r="K59" i="28"/>
  <c r="S29" i="26"/>
  <c r="J58" i="28"/>
  <c r="H14" i="19"/>
  <c r="R31" i="26"/>
  <c r="J104" i="9"/>
  <c r="E52" i="9"/>
  <c r="S22" i="26"/>
  <c r="S27" i="26"/>
  <c r="X44" i="18"/>
  <c r="C48" i="49"/>
  <c r="G111" i="31"/>
  <c r="R12" i="26"/>
  <c r="J105" i="9"/>
  <c r="W52" i="18"/>
  <c r="H63" i="71"/>
  <c r="R30" i="26"/>
  <c r="C126" i="9"/>
  <c r="J18" i="41"/>
  <c r="I33" i="15"/>
  <c r="I40" i="15"/>
  <c r="H69" i="71"/>
  <c r="H66" i="71"/>
  <c r="G101" i="71"/>
  <c r="G95" i="71"/>
  <c r="F92" i="71"/>
  <c r="F91" i="71"/>
  <c r="R27" i="26"/>
  <c r="I43" i="15"/>
  <c r="H35" i="16" l="1"/>
  <c r="I41" i="16"/>
  <c r="I40" i="16"/>
  <c r="E112" i="31"/>
  <c r="I31" i="16"/>
  <c r="K155" i="71"/>
  <c r="E111" i="31"/>
  <c r="J177" i="71"/>
  <c r="M177" i="71"/>
  <c r="K146" i="71"/>
  <c r="E127" i="9"/>
  <c r="K147" i="71"/>
  <c r="F94" i="48"/>
  <c r="M173" i="71"/>
  <c r="J173" i="71"/>
  <c r="K157" i="71"/>
  <c r="F112" i="48"/>
  <c r="K152" i="71"/>
  <c r="K158" i="71"/>
  <c r="F98" i="48"/>
  <c r="E126" i="9"/>
  <c r="J175" i="71"/>
  <c r="M175" i="71"/>
  <c r="J171" i="71"/>
  <c r="M171" i="71"/>
  <c r="Q171" i="71" s="1"/>
  <c r="Q176" i="71" s="1"/>
  <c r="E128" i="9"/>
  <c r="K225" i="18"/>
  <c r="M225" i="18" s="1"/>
  <c r="O225" i="18" s="1"/>
  <c r="L112" i="9"/>
  <c r="I51" i="16"/>
  <c r="L51" i="16" s="1"/>
  <c r="K149" i="71"/>
  <c r="F109" i="48"/>
  <c r="K143" i="71"/>
  <c r="E129" i="9"/>
  <c r="F103" i="48"/>
  <c r="F110" i="48"/>
  <c r="L113" i="9"/>
  <c r="I30" i="16"/>
  <c r="M172" i="71"/>
  <c r="J172" i="71"/>
  <c r="F100" i="48"/>
  <c r="M174" i="71"/>
  <c r="J174" i="71"/>
  <c r="K148" i="71"/>
  <c r="K145" i="71"/>
  <c r="K151" i="71"/>
  <c r="F95" i="48"/>
  <c r="F99" i="48"/>
  <c r="K153" i="71"/>
  <c r="F102" i="48"/>
  <c r="H28" i="28"/>
  <c r="F97" i="48"/>
  <c r="F111" i="48"/>
  <c r="K144" i="71"/>
  <c r="N36" i="28"/>
  <c r="I50" i="16"/>
  <c r="K50" i="16" s="1"/>
  <c r="F105" i="48"/>
  <c r="F101" i="48"/>
  <c r="K154" i="71"/>
  <c r="M176" i="71"/>
  <c r="J176" i="71"/>
  <c r="G117" i="48"/>
  <c r="F106" i="48"/>
  <c r="K150" i="71"/>
  <c r="F107" i="48"/>
  <c r="F96" i="48"/>
  <c r="F104" i="48"/>
  <c r="K156" i="71"/>
  <c r="F108" i="48"/>
  <c r="D34" i="57"/>
  <c r="D27" i="57"/>
  <c r="D24" i="57"/>
  <c r="G26" i="57"/>
  <c r="G32" i="57"/>
  <c r="D39" i="57"/>
  <c r="D32" i="57"/>
  <c r="G29" i="57"/>
  <c r="G16" i="57"/>
  <c r="D25" i="57"/>
  <c r="G24" i="57"/>
  <c r="D15" i="57"/>
  <c r="D20" i="57"/>
  <c r="D19" i="57"/>
  <c r="D40" i="57"/>
  <c r="D43" i="57"/>
  <c r="D37" i="57"/>
  <c r="D22" i="57"/>
  <c r="G19" i="57"/>
  <c r="D35" i="57"/>
  <c r="G27" i="57"/>
  <c r="D36" i="57"/>
  <c r="D41" i="57"/>
  <c r="G37" i="57"/>
  <c r="D28" i="57"/>
  <c r="G15" i="57"/>
  <c r="G40" i="57"/>
  <c r="D23" i="57"/>
  <c r="D31" i="57"/>
  <c r="G30" i="57"/>
  <c r="G35" i="57"/>
  <c r="G33" i="57"/>
  <c r="G21" i="57"/>
  <c r="G14" i="57"/>
  <c r="D30" i="57"/>
  <c r="D42" i="57"/>
  <c r="D26" i="57"/>
  <c r="D16" i="57"/>
  <c r="G25" i="57"/>
  <c r="D38" i="57"/>
  <c r="D17" i="57"/>
  <c r="G38" i="57"/>
  <c r="G39" i="57"/>
  <c r="G20" i="57"/>
  <c r="G41" i="57"/>
  <c r="G28" i="57"/>
  <c r="G36" i="57"/>
  <c r="G34" i="57"/>
  <c r="D18" i="57"/>
  <c r="D14" i="57"/>
  <c r="D33" i="57"/>
  <c r="G42" i="57"/>
  <c r="G22" i="57"/>
  <c r="G17" i="57"/>
  <c r="G31" i="57"/>
  <c r="D21" i="57"/>
  <c r="D29" i="57"/>
  <c r="G18" i="57"/>
  <c r="G43" i="57"/>
  <c r="G23" i="57"/>
  <c r="H36" i="16"/>
  <c r="E175" i="71"/>
  <c r="E173" i="71"/>
  <c r="E172" i="71"/>
  <c r="E177" i="71"/>
  <c r="E171" i="71"/>
  <c r="E174" i="71"/>
  <c r="E176" i="71"/>
  <c r="C37" i="56"/>
  <c r="I99" i="48"/>
  <c r="D173" i="71"/>
  <c r="D171" i="71"/>
  <c r="I96" i="48"/>
  <c r="D112" i="31"/>
  <c r="H108" i="48"/>
  <c r="I28" i="28"/>
  <c r="H112" i="48"/>
  <c r="I98" i="48"/>
  <c r="I110" i="48"/>
  <c r="H100" i="48"/>
  <c r="D174" i="71"/>
  <c r="C86" i="71"/>
  <c r="H99" i="48"/>
  <c r="I109" i="48"/>
  <c r="G35" i="16"/>
  <c r="H96" i="48"/>
  <c r="C112" i="31"/>
  <c r="I108" i="48"/>
  <c r="I94" i="48"/>
  <c r="I105" i="48"/>
  <c r="D111" i="31"/>
  <c r="I103" i="48"/>
  <c r="H105" i="48"/>
  <c r="H103" i="48"/>
  <c r="H106" i="48"/>
  <c r="B86" i="71"/>
  <c r="C111" i="31"/>
  <c r="H109" i="48"/>
  <c r="I112" i="48"/>
  <c r="G36" i="16"/>
  <c r="H98" i="48"/>
  <c r="H110" i="48"/>
  <c r="I111" i="48"/>
  <c r="D175" i="71"/>
  <c r="I95" i="48"/>
  <c r="I104" i="48"/>
  <c r="D172" i="71"/>
  <c r="H102" i="48"/>
  <c r="I97" i="48"/>
  <c r="D177" i="71"/>
  <c r="H95" i="48"/>
  <c r="H104" i="48"/>
  <c r="I102" i="48"/>
  <c r="H111" i="48"/>
  <c r="I100" i="48"/>
  <c r="H97" i="48"/>
  <c r="I101" i="48"/>
  <c r="I106" i="48"/>
  <c r="H101" i="48"/>
  <c r="H94" i="48"/>
  <c r="D176" i="71"/>
  <c r="H107" i="48"/>
  <c r="I107" i="48"/>
  <c r="Q177" i="71" l="1"/>
  <c r="Q173" i="71"/>
  <c r="Q172" i="71"/>
  <c r="K51" i="16"/>
  <c r="Q175" i="71"/>
  <c r="F86" i="71"/>
  <c r="G86" i="71"/>
  <c r="J51" i="16"/>
  <c r="Q174" i="71"/>
  <c r="L50" i="16"/>
  <c r="J50" i="16"/>
  <c r="F176" i="71"/>
  <c r="F172" i="71"/>
  <c r="G176" i="71"/>
  <c r="G172" i="71"/>
  <c r="G177" i="71"/>
  <c r="F174" i="71"/>
  <c r="F173" i="71"/>
  <c r="G173" i="71"/>
  <c r="F175" i="71"/>
  <c r="G174" i="71"/>
  <c r="G175" i="71"/>
  <c r="F171" i="71"/>
  <c r="G171" i="71"/>
  <c r="F177" i="71"/>
  <c r="M51" i="16" l="1"/>
  <c r="N51" i="16" s="1"/>
  <c r="M50" i="16"/>
  <c r="N50" i="16" s="1"/>
  <c r="D178" i="31"/>
  <c r="E177" i="31"/>
  <c r="C177" i="31"/>
  <c r="E178" i="31"/>
  <c r="C178" i="31"/>
  <c r="D177" i="31"/>
  <c r="H175" i="71"/>
  <c r="H173" i="71"/>
  <c r="H174" i="71"/>
  <c r="H171" i="71"/>
  <c r="H172" i="71"/>
  <c r="H176" i="71"/>
  <c r="H177" i="71"/>
  <c r="O35" i="57"/>
  <c r="O31" i="57"/>
  <c r="O36" i="57"/>
  <c r="O20" i="57"/>
  <c r="O19" i="57"/>
  <c r="O15" i="57"/>
  <c r="O24" i="57"/>
  <c r="O41" i="57"/>
  <c r="O40" i="57"/>
  <c r="O25" i="57"/>
  <c r="O14" i="57"/>
  <c r="O30" i="57"/>
  <c r="K19" i="57" l="1"/>
  <c r="P173" i="71"/>
  <c r="L30" i="57"/>
  <c r="P171" i="71"/>
  <c r="L15" i="57"/>
  <c r="P174" i="71"/>
  <c r="L40" i="57"/>
  <c r="L31" i="57"/>
  <c r="L25" i="57"/>
  <c r="P175" i="71"/>
  <c r="L24" i="57"/>
  <c r="K35" i="57"/>
  <c r="P172" i="71"/>
  <c r="P176" i="71"/>
  <c r="K36" i="57"/>
  <c r="K20" i="57"/>
  <c r="L14" i="57"/>
  <c r="L41" i="57"/>
  <c r="P177" i="71"/>
  <c r="O172" i="71"/>
  <c r="O173" i="71"/>
  <c r="O177" i="71"/>
  <c r="J19" i="57"/>
  <c r="J20" i="57"/>
  <c r="O176" i="71"/>
  <c r="J35" i="57"/>
  <c r="O174" i="71"/>
  <c r="O175" i="71"/>
  <c r="J36" i="57"/>
  <c r="O171" i="71"/>
</calcChain>
</file>

<file path=xl/sharedStrings.xml><?xml version="1.0" encoding="utf-8"?>
<sst xmlns="http://schemas.openxmlformats.org/spreadsheetml/2006/main" count="5298" uniqueCount="3454">
  <si>
    <t>Unclassified</t>
  </si>
  <si>
    <t xml:space="preserve">  =BAddPeriods(B44,"Per=y","numberofperiods="&amp;D$44,B41,"BusDayAdj=-2","EOM=1")</t>
  </si>
  <si>
    <t xml:space="preserve">In the example below, you calculate the settlement date and then go forward. </t>
  </si>
  <si>
    <t>If we hit the next month, we go back to the end of the month.</t>
  </si>
  <si>
    <t>EUR</t>
  </si>
  <si>
    <t>CDS cash settled amount</t>
  </si>
  <si>
    <t>Sw Cnv Bpv</t>
  </si>
  <si>
    <t>SW Spread</t>
  </si>
  <si>
    <t>CDS repl</t>
  </si>
  <si>
    <t>Pts Upf (%)</t>
  </si>
  <si>
    <t>CDS quoted price</t>
  </si>
  <si>
    <t>Sw Pay Notl Amt</t>
  </si>
  <si>
    <t>CDS RR</t>
  </si>
  <si>
    <t>SPX830BH Corp</t>
  </si>
  <si>
    <t>ABC Bank</t>
  </si>
  <si>
    <t>XYZ Bank</t>
  </si>
  <si>
    <t>Free text</t>
  </si>
  <si>
    <t>USD</t>
  </si>
  <si>
    <t>SP588P47 Corp</t>
  </si>
  <si>
    <t>Manage Update Frequency of Live Data</t>
  </si>
  <si>
    <t>The BDP (Bloomberg Data Points) formula - overriding data</t>
  </si>
  <si>
    <t xml:space="preserve">Syntax    =BDP(Security,Fields)     </t>
  </si>
  <si>
    <t>Note: In some countries the seperator used is  ;  instead of  ,</t>
  </si>
  <si>
    <r>
      <t>Syntax    =BDP(Security,Fields,Start Date,End Date,</t>
    </r>
    <r>
      <rPr>
        <b/>
        <sz val="11"/>
        <rFont val="Calibri"/>
        <family val="2"/>
      </rPr>
      <t>MarketData)</t>
    </r>
  </si>
  <si>
    <r>
      <t>Syntax    =BRB(Security,Fields,Start Date,End Date,</t>
    </r>
    <r>
      <rPr>
        <b/>
        <sz val="11"/>
        <rFont val="Calibri"/>
        <family val="2"/>
      </rPr>
      <t>[Optional arguments])</t>
    </r>
  </si>
  <si>
    <t>Best way to find overridable fields, re-active fields and general fields, etc. is via FLDS &lt;go&gt;</t>
  </si>
  <si>
    <t>Live data fields</t>
  </si>
  <si>
    <t>Static data fields</t>
  </si>
  <si>
    <t>Historical data fields</t>
  </si>
  <si>
    <t>Locating field mnemonics (names) for live and static data</t>
  </si>
  <si>
    <r>
      <t xml:space="preserve">Note: In some countries the seperator used is  </t>
    </r>
    <r>
      <rPr>
        <i/>
        <sz val="11"/>
        <color indexed="30"/>
        <rFont val="Calibri"/>
        <family val="2"/>
      </rPr>
      <t xml:space="preserve">; </t>
    </r>
    <r>
      <rPr>
        <i/>
        <sz val="11"/>
        <color indexed="23"/>
        <rFont val="Calibri"/>
        <family val="2"/>
      </rPr>
      <t xml:space="preserve"> instead of  </t>
    </r>
    <r>
      <rPr>
        <i/>
        <sz val="11"/>
        <color indexed="30"/>
        <rFont val="Calibri"/>
        <family val="2"/>
      </rPr>
      <t>,</t>
    </r>
  </si>
  <si>
    <t xml:space="preserve">  Fields that automatically updates in Excel whenever we receive a new price from the market</t>
  </si>
  <si>
    <t xml:space="preserve">  Get data on time series such as for VWAP volume, volatility 30 days, Standard Diviation, etc. and</t>
  </si>
  <si>
    <t xml:space="preserve">  Enter you own value in Excel, e.g. bond price, let Bloomberg compute the yield and the result is shown in Excel!</t>
  </si>
  <si>
    <r>
      <t xml:space="preserve">  ALL the calculations utilize the Bloomberg calculation engine but </t>
    </r>
    <r>
      <rPr>
        <u/>
        <sz val="11"/>
        <rFont val="Calibri"/>
        <family val="2"/>
      </rPr>
      <t>no calculations</t>
    </r>
    <r>
      <rPr>
        <sz val="11"/>
        <rFont val="Calibri"/>
        <family val="2"/>
      </rPr>
      <t xml:space="preserve"> takes place in Excel!!</t>
    </r>
  </si>
  <si>
    <t>Getting Bloomberg Data into Excel (live and static data)</t>
  </si>
  <si>
    <t xml:space="preserve"> 2) Enter output field names</t>
  </si>
  <si>
    <t xml:space="preserve"> 2) Enter "output" field names </t>
  </si>
  <si>
    <r>
      <t xml:space="preserve">3) Click on ALL overridable field names  </t>
    </r>
    <r>
      <rPr>
        <sz val="11"/>
        <color indexed="10"/>
        <rFont val="Calibri"/>
        <family val="2"/>
      </rPr>
      <t>px yld     yld cnv bid</t>
    </r>
  </si>
  <si>
    <t xml:space="preserve">  Apply the formula for the 1st security</t>
  </si>
  <si>
    <t xml:space="preserve">  and then drag/drop to finish the job!</t>
  </si>
  <si>
    <t xml:space="preserve"> 3) Enter "overridable field" names</t>
  </si>
  <si>
    <t>Remember: In some countries the seperator used is  ;  instead of  ,</t>
  </si>
  <si>
    <t>Example of getting the note from the DES function</t>
  </si>
  <si>
    <t xml:space="preserve">Examples using Tickers and ID codes (ISIN etc) and specifying a single pricing source for all bonds </t>
  </si>
  <si>
    <t>RBSM</t>
  </si>
  <si>
    <t>eusa5 index</t>
  </si>
  <si>
    <t>chfeur curncy</t>
  </si>
  <si>
    <t>Possible to use other values but may</t>
  </si>
  <si>
    <t>NOLB</t>
  </si>
  <si>
    <t>px ask</t>
  </si>
  <si>
    <t>sw counterparty</t>
  </si>
  <si>
    <t>issuer</t>
  </si>
  <si>
    <t>maturity</t>
  </si>
  <si>
    <t>cds repl</t>
  </si>
  <si>
    <t>crncy</t>
  </si>
  <si>
    <t>sw pay notl amt</t>
  </si>
  <si>
    <t xml:space="preserve">Main data field types </t>
  </si>
  <si>
    <t>=BDP($B71,C$70)</t>
  </si>
  <si>
    <t>=BDP($B79,C$78)</t>
  </si>
  <si>
    <t>sw eff dt</t>
  </si>
  <si>
    <t>=B103&amp;"@"&amp;D103&amp;" corp"</t>
  </si>
  <si>
    <t>=BDP($C103,E$102)</t>
  </si>
  <si>
    <t>=BDP($B112,C$111)</t>
  </si>
  <si>
    <t>=BDP($B118,C$117)</t>
  </si>
  <si>
    <t>=C112*K112</t>
  </si>
  <si>
    <t>FX examples</t>
  </si>
  <si>
    <t>EUR curncy</t>
  </si>
  <si>
    <t>NOK curncy</t>
  </si>
  <si>
    <t>GBPCHF Curncy</t>
  </si>
  <si>
    <t>DKKSEK Curncy</t>
  </si>
  <si>
    <t>px close 5d</t>
  </si>
  <si>
    <t>EURUSDV1W BGN Curncy</t>
  </si>
  <si>
    <t>EURUSD25R1W BGN Curncy</t>
  </si>
  <si>
    <t>EURUSDV2W BGN Curncy</t>
  </si>
  <si>
    <t>EURUSDV3W BGN Curncy</t>
  </si>
  <si>
    <t>EURUSDV1M BGN Curncy</t>
  </si>
  <si>
    <t>EURUSDV3M BGN Curncy</t>
  </si>
  <si>
    <t>EURUSDV6M BGN Curncy</t>
  </si>
  <si>
    <t>EURUSDV1Y BGN Curncy</t>
  </si>
  <si>
    <t>vol instrument type</t>
  </si>
  <si>
    <t>EURUSD25R3W BGN Curncy</t>
  </si>
  <si>
    <t>EURUSD25R1M BGN Curncy</t>
  </si>
  <si>
    <t>EURUSD25R2M BGN Curncy</t>
  </si>
  <si>
    <t>EURUSD25R3M BGN Curncy</t>
  </si>
  <si>
    <t>EURUSD25R6M BGN Curncy</t>
  </si>
  <si>
    <t>EURUSD25R1Y BGN Curncy</t>
  </si>
  <si>
    <t>Tickers represent 25D Risk Reversal</t>
  </si>
  <si>
    <t>=BDP($B126,C$125)</t>
  </si>
  <si>
    <t>Market value</t>
  </si>
  <si>
    <t>in DKK</t>
  </si>
  <si>
    <t>Tickers represent  ATM Vol</t>
  </si>
  <si>
    <t>=BDP($B134,D$133)</t>
  </si>
  <si>
    <t>=BDP($G134,I$133)</t>
  </si>
  <si>
    <t>Construction calculation overrides in Excel</t>
  </si>
  <si>
    <t>FX override examples</t>
  </si>
  <si>
    <t>Equity examples</t>
  </si>
  <si>
    <t>sw cnv bpv</t>
  </si>
  <si>
    <t>EUR/DKK 08/20/2015 Curncy</t>
  </si>
  <si>
    <t>NOK/CHF 12/15/2016 Curncy</t>
  </si>
  <si>
    <t>Broken forward date rates</t>
  </si>
  <si>
    <t>fxopt strike</t>
  </si>
  <si>
    <t>fxopt premium</t>
  </si>
  <si>
    <t>fxopt vega</t>
  </si>
  <si>
    <t>fxopt volatility</t>
  </si>
  <si>
    <t>fxopt base ccy</t>
  </si>
  <si>
    <t>fxopt price ccy</t>
  </si>
  <si>
    <t>fxopt delta</t>
  </si>
  <si>
    <t>fxopt spot fxrate</t>
  </si>
  <si>
    <t>fxopt expiry date</t>
  </si>
  <si>
    <t>EURDKK6M Curncy</t>
  </si>
  <si>
    <t>CHFSEK9M Curncy</t>
  </si>
  <si>
    <t>=BDP($B145,D$144)</t>
  </si>
  <si>
    <t>yld cnv ask</t>
  </si>
  <si>
    <t>yas asw spread</t>
  </si>
  <si>
    <t xml:space="preserve">   =B95&amp;"@"&amp;$B$93&amp;" corp"</t>
  </si>
  <si>
    <t>=BDP($C95,D$94)</t>
  </si>
  <si>
    <t>(Adding px source to id#)</t>
  </si>
  <si>
    <t>Regular forward rates</t>
  </si>
  <si>
    <t>=BDP($G145,I$144)</t>
  </si>
  <si>
    <t>=BDP($B151,C$150)</t>
  </si>
  <si>
    <t>volatility 30d</t>
  </si>
  <si>
    <t>high</t>
  </si>
  <si>
    <t>low</t>
  </si>
  <si>
    <t>yest last trade</t>
  </si>
  <si>
    <t>=C126-D126</t>
  </si>
  <si>
    <t>change on day</t>
  </si>
  <si>
    <t>IS2008224 Equity</t>
  </si>
  <si>
    <t>opt put call</t>
  </si>
  <si>
    <t>opt expire dt</t>
  </si>
  <si>
    <t>opt undl px</t>
  </si>
  <si>
    <t>opt implied volatility last</t>
  </si>
  <si>
    <t>opt px</t>
  </si>
  <si>
    <t>opt delta</t>
  </si>
  <si>
    <t>opt strike px</t>
  </si>
  <si>
    <t>opt gamma</t>
  </si>
  <si>
    <t>=BDP($B98,C$97,$F$97:$G$97,$F98:$G98)</t>
  </si>
  <si>
    <t>=BDP($B105,"yld cnv bid","settle dt,px bid",$D105:$E105)</t>
  </si>
  <si>
    <t>=BDP($B111,C$110,$E$110,$E111)</t>
  </si>
  <si>
    <t>=BDP($B119,C$118,$F$118:$K$118,$F119:$K119)</t>
  </si>
  <si>
    <t>=BDP($B189,C$188,$F$188:$G$188,$F189:$G189)</t>
  </si>
  <si>
    <t>Enter your own stored option id codes to retrieve data</t>
  </si>
  <si>
    <t>=BDP($B126,D$125,$L$125:$P$125,$L126:$P126)</t>
  </si>
  <si>
    <t>=BDP($B$B133,D$132,$L$132:$P$132,$L133:$P133)</t>
  </si>
  <si>
    <t>=BDP($B142,C$141)</t>
  </si>
  <si>
    <t>=BDP($B143,C$141,$D$141,$D143)</t>
  </si>
  <si>
    <t>=BAddPeriods((B156,"numberofperiods="&amp;$D$156,"CDR=TE")            TE (Target) is the calendar used for EUR</t>
  </si>
  <si>
    <t>=BDP($B165,C$164,$F$164:$H$164,$F165:$H165)</t>
  </si>
  <si>
    <t>=BDP($B171,C$170,$G$170,$G171)</t>
  </si>
  <si>
    <t>=BDP($B177,C$176,$F$176:$G$176,$F177:$G177)</t>
  </si>
  <si>
    <t>=BDP($B189,C$188,$E$188:$H$188,$E189:$H189)</t>
  </si>
  <si>
    <t>=BDP($B195,C$194,$J$194,$J195)</t>
  </si>
  <si>
    <r>
      <t xml:space="preserve">Equity override examples </t>
    </r>
    <r>
      <rPr>
        <sz val="11"/>
        <color indexed="30"/>
        <rFont val="Calibri"/>
        <family val="2"/>
      </rPr>
      <t>(for extensive examples please enter XLTP &lt;go&gt; on your Bloomberg and select the section Equities)</t>
    </r>
  </si>
  <si>
    <r>
      <t>Bond override example</t>
    </r>
    <r>
      <rPr>
        <sz val="11"/>
        <color indexed="30"/>
        <rFont val="Calibri"/>
        <family val="2"/>
      </rPr>
      <t xml:space="preserve"> (for extensive examples please enter XLTP &lt;go&gt; on your Bloomberg and select the section Fixed Income)</t>
    </r>
  </si>
  <si>
    <t>cur mkt cap</t>
  </si>
  <si>
    <t>eqy dvd yld est</t>
  </si>
  <si>
    <t>eqy beta</t>
  </si>
  <si>
    <t>tot buy rec</t>
  </si>
  <si>
    <t>tot sell rec</t>
  </si>
  <si>
    <t>high 52week</t>
  </si>
  <si>
    <t>low 52week</t>
  </si>
  <si>
    <t>=BDP($B160,C$159)</t>
  </si>
  <si>
    <t>=BDP($B166,C$159)</t>
  </si>
  <si>
    <t>volume avg 30d</t>
  </si>
  <si>
    <t>revenue per sh</t>
  </si>
  <si>
    <t>earn yld</t>
  </si>
  <si>
    <t>eeps nxt yr</t>
  </si>
  <si>
    <t>bs tot asset</t>
  </si>
  <si>
    <t>ko us equity</t>
  </si>
  <si>
    <t>=BDP($B172,C$171)</t>
  </si>
  <si>
    <t>px volume</t>
  </si>
  <si>
    <t>VGA index</t>
  </si>
  <si>
    <t>=BDP($B177,C$176)</t>
  </si>
  <si>
    <t>fut days expire</t>
  </si>
  <si>
    <t>volume avg 30D</t>
  </si>
  <si>
    <t>open int</t>
  </si>
  <si>
    <t>px theo</t>
  </si>
  <si>
    <t>STA index</t>
  </si>
  <si>
    <t>x2</t>
  </si>
  <si>
    <t>Locating Bloomberg Field Names and Field Types for use in Excel</t>
  </si>
  <si>
    <t xml:space="preserve">  Bloomberg ticker</t>
  </si>
  <si>
    <t xml:space="preserve">  ISIN</t>
  </si>
  <si>
    <t xml:space="preserve">  SEDOL</t>
  </si>
  <si>
    <t xml:space="preserve">  Sicovam</t>
  </si>
  <si>
    <t>dur ask</t>
  </si>
  <si>
    <t>risk ask</t>
  </si>
  <si>
    <r>
      <t xml:space="preserve">Perform calculations in Excel via </t>
    </r>
    <r>
      <rPr>
        <u/>
        <sz val="11"/>
        <rFont val="Calibri"/>
        <family val="2"/>
      </rPr>
      <t>Bloomberg's calculation routines</t>
    </r>
    <r>
      <rPr>
        <sz val="11"/>
        <rFont val="Calibri"/>
        <family val="2"/>
      </rPr>
      <t>! For example enter your own bond price</t>
    </r>
  </si>
  <si>
    <t>into your spreadsheet in seconds!</t>
  </si>
  <si>
    <t>in Excel and via our calculation routines we return the yield (or any other relevant value you desire) directly</t>
  </si>
  <si>
    <r>
      <t xml:space="preserve">1) Enter in C68    </t>
    </r>
    <r>
      <rPr>
        <sz val="11"/>
        <rFont val="Calibri"/>
        <family val="2"/>
      </rPr>
      <t xml:space="preserve">=BDP(      and then click on the  </t>
    </r>
    <r>
      <rPr>
        <sz val="11"/>
        <color indexed="30"/>
        <rFont val="Calibri"/>
        <family val="2"/>
      </rPr>
      <t>first security</t>
    </r>
  </si>
  <si>
    <r>
      <t xml:space="preserve">4) Click on </t>
    </r>
    <r>
      <rPr>
        <sz val="11"/>
        <color indexed="17"/>
        <rFont val="Calibri"/>
        <family val="2"/>
      </rPr>
      <t xml:space="preserve"> ALL input cells in first row only  </t>
    </r>
    <r>
      <rPr>
        <sz val="11"/>
        <rFont val="Calibri"/>
        <family val="2"/>
      </rPr>
      <t>and press Enter</t>
    </r>
  </si>
  <si>
    <r>
      <t xml:space="preserve">1) Enter in C55    </t>
    </r>
    <r>
      <rPr>
        <sz val="11"/>
        <rFont val="Calibri"/>
        <family val="2"/>
      </rPr>
      <t xml:space="preserve">=BDP(      and then click on the  </t>
    </r>
    <r>
      <rPr>
        <sz val="11"/>
        <color indexed="30"/>
        <rFont val="Calibri"/>
        <family val="2"/>
      </rPr>
      <t>first security</t>
    </r>
  </si>
  <si>
    <t>3) Now drag formula across and then down to finish the job!</t>
  </si>
  <si>
    <t>Date format YYYYMMDD (see section "Tips and Tricks" cell C30)</t>
  </si>
  <si>
    <t>Feeding a live price into our calculator to obtain live asset swap spreads</t>
  </si>
  <si>
    <t>Live price</t>
  </si>
  <si>
    <r>
      <t xml:space="preserve">Interest Rate Swaps and Credit Default Swaps override examples </t>
    </r>
    <r>
      <rPr>
        <sz val="11"/>
        <color indexed="30"/>
        <rFont val="Calibri"/>
        <family val="2"/>
      </rPr>
      <t>(use = ID codes for your own stored swaps or CDS deals to view the below data)</t>
    </r>
  </si>
  <si>
    <r>
      <t xml:space="preserve">Date override examples </t>
    </r>
    <r>
      <rPr>
        <sz val="11"/>
        <color indexed="30"/>
        <rFont val="Calibri"/>
        <family val="2"/>
      </rPr>
      <t>(for further examples and construction pleaseclick on yellow tab named  BAddPeriods and BCountPeriods)</t>
    </r>
  </si>
  <si>
    <t>Repo Calculations in Excel via BDP formula and using overrides</t>
  </si>
  <si>
    <t>=BDH(B57,B56,B54,B55,"curr=eur, sort=d")</t>
  </si>
  <si>
    <t xml:space="preserve">    =BDH(B111,$B$109,$B$107,$B$108,"days=w, fill=c, dir=h, dts=h")</t>
  </si>
  <si>
    <r>
      <t>the data cell reside,</t>
    </r>
    <r>
      <rPr>
        <sz val="18"/>
        <color indexed="8"/>
        <rFont val="Calibri"/>
        <family val="2"/>
      </rPr>
      <t xml:space="preserve"> </t>
    </r>
    <r>
      <rPr>
        <sz val="18"/>
        <color indexed="10"/>
        <rFont val="Calibri"/>
        <family val="2"/>
      </rPr>
      <t>y</t>
    </r>
    <r>
      <rPr>
        <sz val="11"/>
        <color theme="1"/>
        <rFont val="Calibri"/>
        <family val="3"/>
        <charset val="128"/>
        <scheme val="minor"/>
      </rPr>
      <t xml:space="preserve"> is the number of spaces to the first</t>
    </r>
  </si>
  <si>
    <r>
      <t>character and</t>
    </r>
    <r>
      <rPr>
        <sz val="18"/>
        <color indexed="8"/>
        <rFont val="Calibri"/>
        <family val="2"/>
      </rPr>
      <t xml:space="preserve"> </t>
    </r>
    <r>
      <rPr>
        <sz val="18"/>
        <color indexed="12"/>
        <rFont val="Calibri"/>
        <family val="2"/>
      </rPr>
      <t>z</t>
    </r>
    <r>
      <rPr>
        <sz val="11"/>
        <color theme="1"/>
        <rFont val="Calibri"/>
        <family val="3"/>
        <charset val="128"/>
        <scheme val="minor"/>
      </rPr>
      <t xml:space="preserve"> is the number of characters to display</t>
    </r>
  </si>
  <si>
    <t>on the page then the formula must  be adjusted</t>
  </si>
  <si>
    <t xml:space="preserve">      =BCountPeriods(B20,D20)</t>
  </si>
  <si>
    <t xml:space="preserve">     =BCountPeriods(B25,C25,D25)</t>
  </si>
  <si>
    <t xml:space="preserve">      =BAddPeriods(B27,C27,"numberofperiods="&amp;D27)</t>
  </si>
  <si>
    <t xml:space="preserve">      =BAddPeriods(B22,C22,"numberofperiods="&amp;D22)</t>
  </si>
  <si>
    <t xml:space="preserve">  data fields such as duration, name of an equity, dirty price, swap rate fixings, etc.</t>
  </si>
  <si>
    <t xml:space="preserve">  without downloading any data time series! See yellow tab named Intervals below for examples.</t>
  </si>
  <si>
    <t xml:space="preserve">  Download "Bulk" data in on go, e.g. description of a security, cashflows of a bond, etc.</t>
  </si>
  <si>
    <t>Use FLDS &lt;go&gt; to identify the field names and types when requesting data through the Bloomberg API service for the security in question.</t>
  </si>
  <si>
    <t>FLDS displays detailed information including field mnemonic, type of field (live or static or Bulk), if the values are "overridable" and much more.</t>
  </si>
  <si>
    <t>Bulk data fields are shown as "Show Bulk Data" under the column heading "Value" (set field type too "ALL" in FLDS &lt;go&gt;).</t>
  </si>
  <si>
    <t>To view FLDS enter for example DBR 6 16 Govt FLDS &lt;go&gt;. Enter for example bid in the field just below the security to see wha'ts available to download.</t>
  </si>
  <si>
    <r>
      <t xml:space="preserve">The BDP (Bloomberg Data Points) formula </t>
    </r>
    <r>
      <rPr>
        <sz val="11"/>
        <color indexed="30"/>
        <rFont val="Calibri"/>
        <family val="2"/>
      </rPr>
      <t>(returns live or static or bulk data into Excel)</t>
    </r>
  </si>
  <si>
    <t xml:space="preserve">  =BInterpol($C$11:$C$23,$D$11:$D$23,F11,"linear")</t>
  </si>
  <si>
    <r>
      <t xml:space="preserve">  These "Overridable fields" are marked with a small grey box and marked with a </t>
    </r>
    <r>
      <rPr>
        <sz val="11"/>
        <color indexed="60"/>
        <rFont val="Calibri"/>
        <family val="2"/>
      </rPr>
      <t xml:space="preserve">brown box </t>
    </r>
    <r>
      <rPr>
        <sz val="11"/>
        <rFont val="Calibri"/>
        <family val="2"/>
      </rPr>
      <t>(see below picture).</t>
    </r>
  </si>
  <si>
    <t>Syntax    =(Security,Output Fields,Input Fields,Input Values)</t>
  </si>
  <si>
    <t xml:space="preserve">to see the description. </t>
  </si>
  <si>
    <t>=(E-C)/D</t>
  </si>
  <si>
    <t xml:space="preserve">consists of d(day), w(week), m(month), q(quarter), s(semi-annual), and y(year). Fifteen </t>
  </si>
  <si>
    <t xml:space="preserve">month would be entered as "15m" to override correctly. In addition, users can set the </t>
  </si>
  <si>
    <t xml:space="preserve">override to WTD (week to date), MTD (month to date), YTD (year to date), FWTD (first day </t>
  </si>
  <si>
    <t>of week to date), FMTD (first day of month to date), FYTD ( first day of year to date).</t>
  </si>
  <si>
    <t>Y-Values</t>
  </si>
  <si>
    <t>X-Values</t>
  </si>
  <si>
    <t xml:space="preserve">  Period (Per)</t>
  </si>
  <si>
    <t xml:space="preserve">  Calendar (CDR)</t>
  </si>
  <si>
    <t>To see the full list of calendar codes run CDR&lt;GO&gt;</t>
  </si>
  <si>
    <t>WD,W,M,Q,S,Y</t>
  </si>
  <si>
    <t>For a full list of Optional Arguments available please refer to cell  B60</t>
  </si>
  <si>
    <t>For a full list of Optional Arguments available please refer to cell  B73</t>
  </si>
  <si>
    <r>
      <t xml:space="preserve">Yield curver ticker symbols consist of 4 parts, namely </t>
    </r>
    <r>
      <rPr>
        <sz val="11"/>
        <color indexed="30"/>
        <rFont val="Calibri"/>
        <family val="2"/>
      </rPr>
      <t>YC + Curve type + Curve</t>
    </r>
    <r>
      <rPr>
        <sz val="11"/>
        <color indexed="30"/>
        <rFont val="Calibri"/>
        <family val="2"/>
      </rPr>
      <t xml:space="preserve"> number (4 digits)</t>
    </r>
  </si>
  <si>
    <t>Interp. Point</t>
  </si>
  <si>
    <t>Sort:</t>
  </si>
  <si>
    <t>Multi-X</t>
  </si>
  <si>
    <t>Transform:</t>
  </si>
  <si>
    <t>Skip:</t>
  </si>
  <si>
    <t>Extrapolate:</t>
  </si>
  <si>
    <t xml:space="preserve">FLDS MARKET_DATA_OVERRIDE </t>
  </si>
  <si>
    <t xml:space="preserve">To see the full list of available fields run </t>
  </si>
  <si>
    <t xml:space="preserve">and click one of the field names </t>
  </si>
  <si>
    <r>
      <t xml:space="preserve">To find the relevant curve number enter </t>
    </r>
    <r>
      <rPr>
        <u/>
        <sz val="11"/>
        <rFont val="Calibri"/>
        <family val="2"/>
      </rPr>
      <t xml:space="preserve">CURV &lt;Corp&gt; &lt;go&gt; </t>
    </r>
    <r>
      <rPr>
        <sz val="11"/>
        <rFont val="Calibri"/>
        <family val="2"/>
      </rPr>
      <t xml:space="preserve"> or </t>
    </r>
    <r>
      <rPr>
        <u/>
        <sz val="11"/>
        <rFont val="Calibri"/>
        <family val="2"/>
      </rPr>
      <t xml:space="preserve"> CRVF &lt;go&gt;</t>
    </r>
    <r>
      <rPr>
        <sz val="11"/>
        <rFont val="Calibri"/>
        <family val="2"/>
      </rPr>
      <t xml:space="preserve"> on your Bloomberg</t>
    </r>
  </si>
  <si>
    <r>
      <t>Syntax    =Binterpol(x-values,y-values,interpolation value,"linear" or "cubic",</t>
    </r>
    <r>
      <rPr>
        <b/>
        <sz val="11"/>
        <color indexed="8"/>
        <rFont val="Calibri"/>
        <family val="2"/>
      </rPr>
      <t>[Optional arguments])</t>
    </r>
  </si>
  <si>
    <t>px to ebitda</t>
  </si>
  <si>
    <r>
      <rPr>
        <sz val="11"/>
        <color indexed="10"/>
        <rFont val="Calibri"/>
        <family val="2"/>
      </rPr>
      <t>*</t>
    </r>
    <r>
      <rPr>
        <sz val="11"/>
        <color theme="1"/>
        <rFont val="Calibri"/>
        <family val="3"/>
        <charset val="128"/>
        <scheme val="minor"/>
      </rPr>
      <t xml:space="preserve"> This field  accepts overrides in a "number/period" format. Numbers may consist of any integer. Period </t>
    </r>
  </si>
  <si>
    <r>
      <rPr>
        <sz val="11"/>
        <color indexed="10"/>
        <rFont val="Calibri"/>
        <family val="2"/>
      </rPr>
      <t>**</t>
    </r>
    <r>
      <rPr>
        <sz val="11"/>
        <color theme="1"/>
        <rFont val="Calibri"/>
        <family val="3"/>
        <charset val="128"/>
        <scheme val="minor"/>
      </rPr>
      <t xml:space="preserve"> Available fields: bid, ask, high, low, open, close, volume, VWAP</t>
    </r>
  </si>
  <si>
    <t>=BDH(B48,B47,B45,B46,"dir=h")</t>
  </si>
  <si>
    <t xml:space="preserve">   =BDS(B30,B31,"startcol="&amp;B32,"endcol="&amp;B33)</t>
  </si>
  <si>
    <t>Several different formulae used for the below construction</t>
  </si>
  <si>
    <r>
      <rPr>
        <sz val="11"/>
        <color indexed="10"/>
        <rFont val="Calibri"/>
        <family val="2"/>
      </rPr>
      <t xml:space="preserve"> ** </t>
    </r>
    <r>
      <rPr>
        <sz val="11"/>
        <color theme="1"/>
        <rFont val="Calibri"/>
        <family val="3"/>
        <charset val="128"/>
        <scheme val="minor"/>
      </rPr>
      <t>Currency/Index tickers just require a space instead.</t>
    </r>
  </si>
  <si>
    <t>1 year would</t>
  </si>
  <si>
    <t>be -1ay</t>
  </si>
  <si>
    <t>E.g. going back</t>
  </si>
  <si>
    <t xml:space="preserve">For further </t>
  </si>
  <si>
    <t xml:space="preserve">details see </t>
  </si>
  <si>
    <t>light yellow</t>
  </si>
  <si>
    <t>tab named</t>
  </si>
  <si>
    <t>"BDH Relative</t>
  </si>
  <si>
    <t>Dates"</t>
  </si>
  <si>
    <r>
      <t>Syntax    =BDH(Security,Fields,Start Date,End Date,</t>
    </r>
    <r>
      <rPr>
        <b/>
        <sz val="11"/>
        <rFont val="Calibri"/>
        <family val="2"/>
      </rPr>
      <t>[Optional arguments])</t>
    </r>
  </si>
  <si>
    <t>Downloading ABS/CMBS/RMBS collateral, cashflows and much more</t>
  </si>
  <si>
    <t xml:space="preserve">     For further details and general example click on the dark yellow tab "BDP"</t>
  </si>
  <si>
    <t>Syntax    =BDP(Security,Output Fields,Input Fields,Input Values)</t>
  </si>
  <si>
    <t xml:space="preserve">     For further details and general examples click on the light yellow tab "BDP Overrides"</t>
  </si>
  <si>
    <t xml:space="preserve">     For further details and general examples click on the dark yellow tab "BDH"</t>
  </si>
  <si>
    <r>
      <t xml:space="preserve">Note: In some countries the formula seperator used is  </t>
    </r>
    <r>
      <rPr>
        <i/>
        <sz val="11"/>
        <color indexed="30"/>
        <rFont val="Calibri"/>
        <family val="2"/>
      </rPr>
      <t xml:space="preserve">; </t>
    </r>
    <r>
      <rPr>
        <i/>
        <sz val="11"/>
        <color indexed="23"/>
        <rFont val="Calibri"/>
        <family val="2"/>
      </rPr>
      <t xml:space="preserve"> instead of  </t>
    </r>
    <r>
      <rPr>
        <i/>
        <sz val="11"/>
        <color indexed="30"/>
        <rFont val="Calibri"/>
        <family val="2"/>
      </rPr>
      <t>,</t>
    </r>
  </si>
  <si>
    <t>Locating field mnemonics (names) for live, static, overridable and historical data</t>
  </si>
  <si>
    <t>Via FLDS &lt;go&gt;, e.g. amsi 2005-r11 a1 mtge (or 03072SU45 mtge) FLDS &lt;go&gt;</t>
  </si>
  <si>
    <t xml:space="preserve">        Indicates fields</t>
  </si>
  <si>
    <t>Further examples of field names available</t>
  </si>
  <si>
    <t xml:space="preserve">        are overridable</t>
  </si>
  <si>
    <t>Examples of live, static, calculation overrides and historical data</t>
  </si>
  <si>
    <t>Example of using BDP</t>
  </si>
  <si>
    <t>BDP(B46,"Security name")</t>
  </si>
  <si>
    <t>03072SU45 mtge</t>
  </si>
  <si>
    <t>=BDP($B$46,B48)</t>
  </si>
  <si>
    <t>=BDP($B$46,F48)</t>
  </si>
  <si>
    <t>nxt refix dt</t>
  </si>
  <si>
    <t>last update</t>
  </si>
  <si>
    <t>mtg class deal pct curr</t>
  </si>
  <si>
    <t>mtg orig amt</t>
  </si>
  <si>
    <t>amt outstanding</t>
  </si>
  <si>
    <t>mtg orig wal</t>
  </si>
  <si>
    <t>mtg factor</t>
  </si>
  <si>
    <t>mtg first cpn</t>
  </si>
  <si>
    <t>cpn</t>
  </si>
  <si>
    <t>first cpn dt</t>
  </si>
  <si>
    <t>mtg nxt pay dt set dt</t>
  </si>
  <si>
    <t>first settle dt</t>
  </si>
  <si>
    <t>mtg record dt</t>
  </si>
  <si>
    <t>issue dt</t>
  </si>
  <si>
    <t>start acc dt</t>
  </si>
  <si>
    <t>issue px</t>
  </si>
  <si>
    <t>end acc dt</t>
  </si>
  <si>
    <t>mtg first rst dt</t>
  </si>
  <si>
    <t>mtg prepay source</t>
  </si>
  <si>
    <t>mtg class deal pct orig</t>
  </si>
  <si>
    <t>mtg pl psa 1m</t>
  </si>
  <si>
    <t>mtg pl psa 3m</t>
  </si>
  <si>
    <t>mtg pl psa 6m</t>
  </si>
  <si>
    <t>mtg pl psa 12m</t>
  </si>
  <si>
    <t>From FLDS</t>
  </si>
  <si>
    <t>Note, that pressing the "Refresh" button in the Bloomberg toolbar will refresh all static data</t>
  </si>
  <si>
    <t>Example using BDP with overrides, e.g.select your own dates in this example!</t>
  </si>
  <si>
    <t>Collateral information regarding delinquencies 30D, 60D, 90D and with an overide of the Collateral Date</t>
  </si>
  <si>
    <t>=BDP($B79,C$78,$G$78,$G79)</t>
  </si>
  <si>
    <t>mtg whln 30dlq</t>
  </si>
  <si>
    <t>mtg whln 60dlq</t>
  </si>
  <si>
    <t>mtg whln 90dlq</t>
  </si>
  <si>
    <t>mtg collat dt</t>
  </si>
  <si>
    <t>004421MV2 mtge</t>
  </si>
  <si>
    <t>Example of using a combination of BDP and BDS formulae</t>
  </si>
  <si>
    <t xml:space="preserve">Step 1 </t>
  </si>
  <si>
    <t>Get classes via BDS</t>
  </si>
  <si>
    <t xml:space="preserve">Step 2 </t>
  </si>
  <si>
    <t>Get deal name BDP</t>
  </si>
  <si>
    <t>Step 3</t>
  </si>
  <si>
    <t>Step 4</t>
  </si>
  <si>
    <t xml:space="preserve">Download class specific info via BDP </t>
  </si>
  <si>
    <t>Step 1</t>
  </si>
  <si>
    <t>Step2</t>
  </si>
  <si>
    <t>Step3</t>
  </si>
  <si>
    <t>=BDS(B92,B93,"StartCol=2","EndCol=2")</t>
  </si>
  <si>
    <t>=BDP($D$92,$D$93)</t>
  </si>
  <si>
    <t>=D94&amp;" "&amp;B94&amp;" mtge"</t>
  </si>
  <si>
    <t>=BDP($F94,H$93)</t>
  </si>
  <si>
    <t>=BDP($F94,I$93)</t>
  </si>
  <si>
    <t>mtg typ</t>
  </si>
  <si>
    <t>mtg collat typ</t>
  </si>
  <si>
    <t>mtge cmo group list</t>
  </si>
  <si>
    <t>mtg deal name</t>
  </si>
  <si>
    <t>A2A</t>
  </si>
  <si>
    <t>A2B</t>
  </si>
  <si>
    <t>A2C</t>
  </si>
  <si>
    <t>A2D</t>
  </si>
  <si>
    <t>M1</t>
  </si>
  <si>
    <t>M2</t>
  </si>
  <si>
    <t>M3</t>
  </si>
  <si>
    <t>M4</t>
  </si>
  <si>
    <t>M5</t>
  </si>
  <si>
    <t>M6</t>
  </si>
  <si>
    <t>M7</t>
  </si>
  <si>
    <t>M8</t>
  </si>
  <si>
    <t>M9</t>
  </si>
  <si>
    <t>M10</t>
  </si>
  <si>
    <t>CE</t>
  </si>
  <si>
    <t>P</t>
  </si>
  <si>
    <t>R</t>
  </si>
  <si>
    <t>RX</t>
  </si>
  <si>
    <t>Example using BDS with overrides, e.g. select your own settlement date, prepay type and speed!</t>
  </si>
  <si>
    <t>Example using BDP and BDH</t>
  </si>
  <si>
    <t xml:space="preserve">    =BDP(B117,"Security name")</t>
  </si>
  <si>
    <t>mtg cash flow</t>
  </si>
  <si>
    <t>mtg prepay typ</t>
  </si>
  <si>
    <t>CPR</t>
  </si>
  <si>
    <t>mtg prepay speed</t>
  </si>
  <si>
    <t xml:space="preserve">   =BDP(B118,"Security name")</t>
  </si>
  <si>
    <t>=BDS(B117,B118,F117:F119,G117:G119)</t>
  </si>
  <si>
    <t xml:space="preserve">   =BDP(J119,"issue dt")</t>
  </si>
  <si>
    <t>start date</t>
  </si>
  <si>
    <t>end date</t>
  </si>
  <si>
    <t>field name</t>
  </si>
  <si>
    <t xml:space="preserve"> =BDH(J118,K124,K122,K123)</t>
  </si>
  <si>
    <t xml:space="preserve">     will always show you todays date less 6 days</t>
  </si>
  <si>
    <t xml:space="preserve">     will always show you todays date plus 43 days</t>
  </si>
  <si>
    <t>Specified Days - end date determines days in month or weeks or quarterly etc.</t>
  </si>
  <si>
    <t>Example of fetching a single row from a non-digitized page and</t>
  </si>
  <si>
    <t>formatting the result from MID()</t>
  </si>
  <si>
    <t>Step 1:</t>
  </si>
  <si>
    <t>Note:</t>
  </si>
  <si>
    <t>Step 2:</t>
  </si>
  <si>
    <t>you extract the next six characters.</t>
  </si>
  <si>
    <t xml:space="preserve">       =BPGE(D85, 6)</t>
  </si>
  <si>
    <t>Fetch the 6th row</t>
  </si>
  <si>
    <t xml:space="preserve">Using MID as shown in the first example, starting with the 11th character, </t>
  </si>
  <si>
    <t>Step 3:</t>
  </si>
  <si>
    <t>such as the number of decimal places.</t>
  </si>
  <si>
    <t xml:space="preserve">The result is still text (alligned left) and you cannot modify things </t>
  </si>
  <si>
    <t>You can change the result from text to a number by using the syntax</t>
  </si>
  <si>
    <t>The result appears aligned on the right and you can modify the</t>
  </si>
  <si>
    <t>number of decimal places.</t>
  </si>
  <si>
    <r>
      <t xml:space="preserve">       =MID(</t>
    </r>
    <r>
      <rPr>
        <sz val="11"/>
        <color indexed="17"/>
        <rFont val="Calibri"/>
        <family val="2"/>
      </rPr>
      <t>B87</t>
    </r>
    <r>
      <rPr>
        <sz val="11"/>
        <color theme="1"/>
        <rFont val="Calibri"/>
        <family val="3"/>
        <charset val="128"/>
        <scheme val="minor"/>
      </rPr>
      <t>,</t>
    </r>
    <r>
      <rPr>
        <sz val="11"/>
        <color indexed="10"/>
        <rFont val="Calibri"/>
        <family val="2"/>
      </rPr>
      <t>11</t>
    </r>
    <r>
      <rPr>
        <sz val="11"/>
        <color theme="1"/>
        <rFont val="Calibri"/>
        <family val="3"/>
        <charset val="128"/>
        <scheme val="minor"/>
      </rPr>
      <t>,</t>
    </r>
    <r>
      <rPr>
        <sz val="11"/>
        <color indexed="30"/>
        <rFont val="Calibri"/>
        <family val="2"/>
      </rPr>
      <t>6</t>
    </r>
    <r>
      <rPr>
        <sz val="11"/>
        <color theme="1"/>
        <rFont val="Calibri"/>
        <family val="3"/>
        <charset val="128"/>
        <scheme val="minor"/>
      </rPr>
      <t>)</t>
    </r>
  </si>
  <si>
    <r>
      <t xml:space="preserve">          =TRIM(</t>
    </r>
    <r>
      <rPr>
        <sz val="11"/>
        <color indexed="36"/>
        <rFont val="Calibri"/>
        <family val="2"/>
      </rPr>
      <t>K87</t>
    </r>
    <r>
      <rPr>
        <sz val="11"/>
        <color theme="1"/>
        <rFont val="Calibri"/>
        <family val="3"/>
        <charset val="128"/>
        <scheme val="minor"/>
      </rPr>
      <t>)</t>
    </r>
  </si>
  <si>
    <r>
      <t xml:space="preserve">         =VALUE(</t>
    </r>
    <r>
      <rPr>
        <sz val="11"/>
        <color indexed="53"/>
        <rFont val="Calibri"/>
        <family val="2"/>
      </rPr>
      <t>L87</t>
    </r>
    <r>
      <rPr>
        <sz val="11"/>
        <color theme="1"/>
        <rFont val="Calibri"/>
        <family val="3"/>
        <charset val="128"/>
        <scheme val="minor"/>
      </rPr>
      <t>)</t>
    </r>
  </si>
  <si>
    <t>The result in this case is "_12.4_" where there is a space on both sides.</t>
  </si>
  <si>
    <t>Start</t>
  </si>
  <si>
    <t>End</t>
  </si>
  <si>
    <t>Date</t>
  </si>
  <si>
    <t>Calendars</t>
  </si>
  <si>
    <t>CDR=FD EN</t>
  </si>
  <si>
    <t>Example using multiple calendars to calculate maturity for USD swaps</t>
  </si>
  <si>
    <t>No. of years</t>
  </si>
  <si>
    <t>Per=Y</t>
  </si>
  <si>
    <t>(Day, Workday, Year)</t>
  </si>
  <si>
    <t>Per=WD</t>
  </si>
  <si>
    <t>NKY Index</t>
  </si>
  <si>
    <t>px open</t>
  </si>
  <si>
    <t>KOSPI2 Index</t>
  </si>
  <si>
    <t>TK&amp;SE</t>
  </si>
  <si>
    <t>Up to ten CDR's are supported and you can perform union (|) or intersection (&amp;) operations.</t>
  </si>
  <si>
    <t>Complex logic such as US&amp;JP|DB is not allowed, but US&amp;JP&amp;DB and US|JP|DB are valid. If</t>
  </si>
  <si>
    <t>you use 5D, Monday to Friday will be displayed.</t>
  </si>
  <si>
    <t>US&amp;JP|DB</t>
  </si>
  <si>
    <t>US&amp;JP&amp;DB</t>
  </si>
  <si>
    <t>US|JP|DB</t>
  </si>
  <si>
    <t>(US|JP)&amp;DB</t>
  </si>
  <si>
    <t>Invalid</t>
  </si>
  <si>
    <t>Valid</t>
  </si>
  <si>
    <t xml:space="preserve">  =BDH(C193,C194,C188,C189,B190,C190)</t>
  </si>
  <si>
    <t xml:space="preserve">  =BDH(D193,D194,C188,C189,B190,C190,"DATES=H")</t>
  </si>
  <si>
    <t>Using multiple calendars to fetch Nikkei and KOSPI2 data when Tokyo and Seoul are both open.</t>
  </si>
  <si>
    <t>Constitution Memorial Day (Japan)</t>
  </si>
  <si>
    <t>Greenery Day (Japan)</t>
  </si>
  <si>
    <t>Children's Day (Japan &amp; Korea)</t>
  </si>
  <si>
    <t>Buddha's Birthday (Korea)</t>
  </si>
  <si>
    <t xml:space="preserve">     =BAddPeriods(B255,"numberofperiods="&amp;$C$254,"CDR=TE")</t>
  </si>
  <si>
    <t>* This example might not display</t>
  </si>
  <si>
    <t xml:space="preserve">   depending on your timezone.</t>
  </si>
  <si>
    <t>MAERSKA DC</t>
  </si>
  <si>
    <t>Bulk data fields</t>
  </si>
  <si>
    <t>Todays date</t>
  </si>
  <si>
    <t>ibm us equity</t>
  </si>
  <si>
    <t>ebitda</t>
  </si>
  <si>
    <t>dbr 6 16 govt</t>
  </si>
  <si>
    <t>px bid</t>
  </si>
  <si>
    <t>vod 5 18 corp</t>
  </si>
  <si>
    <t>corp</t>
  </si>
  <si>
    <t>Original Date</t>
  </si>
  <si>
    <t>ISIN Code</t>
  </si>
  <si>
    <t>@</t>
  </si>
  <si>
    <t>Locking Cells</t>
  </si>
  <si>
    <t xml:space="preserve">EUSA1 Curncy </t>
  </si>
  <si>
    <t xml:space="preserve">EUSA1F Curncy </t>
  </si>
  <si>
    <t xml:space="preserve">EUSA2 Curncy </t>
  </si>
  <si>
    <t xml:space="preserve">EUSA3 Curncy </t>
  </si>
  <si>
    <t xml:space="preserve">EUSA4 Curncy </t>
  </si>
  <si>
    <t xml:space="preserve">EUSA5 Curncy </t>
  </si>
  <si>
    <t xml:space="preserve">EUSA6 Curncy </t>
  </si>
  <si>
    <t xml:space="preserve">EUSA7 Curncy </t>
  </si>
  <si>
    <t xml:space="preserve">EUSA8 Curncy </t>
  </si>
  <si>
    <t xml:space="preserve">EUSA9 Curncy </t>
  </si>
  <si>
    <t xml:space="preserve">EUSA10 Curncy </t>
  </si>
  <si>
    <t xml:space="preserve">EUSA11 Curncy </t>
  </si>
  <si>
    <t xml:space="preserve">EUSA12 Curncy </t>
  </si>
  <si>
    <t xml:space="preserve">EUSA15 Curncy </t>
  </si>
  <si>
    <t xml:space="preserve">EUSA17 Curncy </t>
  </si>
  <si>
    <t xml:space="preserve">EUSA18 Curncy </t>
  </si>
  <si>
    <t xml:space="preserve">EUSA19 Curncy </t>
  </si>
  <si>
    <t xml:space="preserve">EUSA20 Curncy </t>
  </si>
  <si>
    <t xml:space="preserve">EUSA21 Curncy </t>
  </si>
  <si>
    <t xml:space="preserve">EUSA22 Curncy </t>
  </si>
  <si>
    <t xml:space="preserve">EUSA23 Curncy </t>
  </si>
  <si>
    <t xml:space="preserve">EUSA24 Curncy </t>
  </si>
  <si>
    <t xml:space="preserve">EUSA25 Curncy </t>
  </si>
  <si>
    <t xml:space="preserve">EUSA30 Curncy </t>
  </si>
  <si>
    <t xml:space="preserve">EUSA40 Curncy </t>
  </si>
  <si>
    <t xml:space="preserve">EUSA50 Curncy </t>
  </si>
  <si>
    <t>ct10 Govt</t>
  </si>
  <si>
    <t>vod 5 18 govt</t>
  </si>
  <si>
    <t>time</t>
  </si>
  <si>
    <t>bid yld</t>
  </si>
  <si>
    <t>pricing source</t>
  </si>
  <si>
    <t>When using Bloomberg formulae make sure you are locking in the cells by using</t>
  </si>
  <si>
    <t>Interval data fields</t>
  </si>
  <si>
    <t xml:space="preserve">  Fields that only updates when you open your Excel or refresh the sheet by pressing </t>
  </si>
  <si>
    <t>Overridable fields</t>
  </si>
  <si>
    <t xml:space="preserve">  Create time series based on prices, yields, dividends, inflation rates,  etc. </t>
  </si>
  <si>
    <t>When using "Overrides" make sure you are locking in the cells by using</t>
  </si>
  <si>
    <t>yld cnv bid</t>
  </si>
  <si>
    <t>security des</t>
  </si>
  <si>
    <t xml:space="preserve">               x1</t>
  </si>
  <si>
    <t xml:space="preserve">               x2</t>
  </si>
  <si>
    <t xml:space="preserve">               x3</t>
  </si>
  <si>
    <t>to get the data into Excel!</t>
  </si>
  <si>
    <t>last price</t>
  </si>
  <si>
    <t>Years</t>
  </si>
  <si>
    <t>PX bid</t>
  </si>
  <si>
    <t>Interpolated</t>
  </si>
  <si>
    <t>EUDRC Index</t>
  </si>
  <si>
    <t>EUDRF Index</t>
  </si>
  <si>
    <t>EUDR1 Index</t>
  </si>
  <si>
    <t>EUSA2 Index</t>
  </si>
  <si>
    <t>EUSA3 Index</t>
  </si>
  <si>
    <t>EUSA4 Index</t>
  </si>
  <si>
    <t>EUSA5 Index</t>
  </si>
  <si>
    <t>EUSA6 Index</t>
  </si>
  <si>
    <t>EUSA7 Index</t>
  </si>
  <si>
    <t>EUSA8 Index</t>
  </si>
  <si>
    <t>EUSA9 Index</t>
  </si>
  <si>
    <t>EUSA10 Index</t>
  </si>
  <si>
    <t xml:space="preserve">               x4</t>
  </si>
  <si>
    <t xml:space="preserve">     will always show you todays date (remember to format the initial value to a date)</t>
  </si>
  <si>
    <t>Maturity</t>
  </si>
  <si>
    <t>Days</t>
  </si>
  <si>
    <t>New spread</t>
  </si>
  <si>
    <t>days to mty</t>
  </si>
  <si>
    <t>spread</t>
  </si>
  <si>
    <t xml:space="preserve">interpolated </t>
  </si>
  <si>
    <t>interpolated</t>
  </si>
  <si>
    <t>years</t>
  </si>
  <si>
    <t>mty years</t>
  </si>
  <si>
    <t>index,match</t>
  </si>
  <si>
    <t>rate</t>
  </si>
  <si>
    <t>spread in BP</t>
  </si>
  <si>
    <t>VOD 5 18 Corp</t>
  </si>
  <si>
    <t>Bloomberg</t>
  </si>
  <si>
    <t xml:space="preserve">  Data from Bloomberg</t>
  </si>
  <si>
    <t xml:space="preserve">     Microsoft formulae</t>
  </si>
  <si>
    <t>Calculation</t>
  </si>
  <si>
    <t>bond ticker</t>
  </si>
  <si>
    <t>Manually</t>
  </si>
  <si>
    <t xml:space="preserve">       Data</t>
  </si>
  <si>
    <t>entered</t>
  </si>
  <si>
    <t>from Bloomberg</t>
  </si>
  <si>
    <t>Field Types</t>
  </si>
  <si>
    <t xml:space="preserve">Then apply the formulae </t>
  </si>
  <si>
    <t>EUR Curncy</t>
  </si>
  <si>
    <t>High</t>
  </si>
  <si>
    <t>Ticker</t>
  </si>
  <si>
    <r>
      <t xml:space="preserve">Example 3  </t>
    </r>
    <r>
      <rPr>
        <b/>
        <sz val="11"/>
        <rFont val="Calibri"/>
        <family val="2"/>
      </rPr>
      <t xml:space="preserve">Bond yield known: </t>
    </r>
    <r>
      <rPr>
        <sz val="11"/>
        <rFont val="Calibri"/>
        <family val="2"/>
      </rPr>
      <t>calculate price and spread</t>
    </r>
  </si>
  <si>
    <r>
      <t xml:space="preserve">Example 2  </t>
    </r>
    <r>
      <rPr>
        <b/>
        <sz val="11"/>
        <rFont val="Calibri"/>
        <family val="2"/>
      </rPr>
      <t>Bond spread known:</t>
    </r>
    <r>
      <rPr>
        <sz val="11"/>
        <rFont val="Calibri"/>
        <family val="2"/>
      </rPr>
      <t xml:space="preserve"> calculate price and yield</t>
    </r>
  </si>
  <si>
    <r>
      <t xml:space="preserve">Example 1  </t>
    </r>
    <r>
      <rPr>
        <b/>
        <sz val="11"/>
        <rFont val="Calibri"/>
        <family val="2"/>
      </rPr>
      <t xml:space="preserve">Bond price known: </t>
    </r>
    <r>
      <rPr>
        <sz val="11"/>
        <rFont val="Calibri"/>
        <family val="2"/>
      </rPr>
      <t>calculate yield and spread</t>
    </r>
  </si>
  <si>
    <t>Press the &lt;Tab&gt; key on your Bloomberg ro reveal the page code. If the first number</t>
  </si>
  <si>
    <t>597/22/1</t>
  </si>
  <si>
    <t xml:space="preserve"> </t>
  </si>
  <si>
    <t>the number is not 2 then downloading of data is not possible.</t>
  </si>
  <si>
    <r>
      <t xml:space="preserve">is </t>
    </r>
    <r>
      <rPr>
        <sz val="11"/>
        <color indexed="10"/>
        <rFont val="Calibri"/>
        <family val="2"/>
      </rPr>
      <t xml:space="preserve">2 </t>
    </r>
    <r>
      <rPr>
        <sz val="11"/>
        <color theme="1"/>
        <rFont val="Calibri"/>
        <family val="3"/>
        <charset val="128"/>
        <scheme val="minor"/>
      </rPr>
      <t>then it's possible to download the entire page into Excel and extract all data. If</t>
    </r>
  </si>
  <si>
    <t>data into Excel</t>
  </si>
  <si>
    <t xml:space="preserve">You are now ready to scrap the values into individual </t>
  </si>
  <si>
    <t xml:space="preserve">  Note:</t>
  </si>
  <si>
    <t xml:space="preserve">  Step 3:</t>
  </si>
  <si>
    <t xml:space="preserve">  Step 2:</t>
  </si>
  <si>
    <t xml:space="preserve">  Step 1:</t>
  </si>
  <si>
    <t>DGB 7 24</t>
  </si>
  <si>
    <t>MSEG</t>
  </si>
  <si>
    <t>CBBT</t>
  </si>
  <si>
    <t>Syntax    =BPGE("Company page Code")</t>
  </si>
  <si>
    <t>Syntax    =BEQS("Name of your search stored in EQS")</t>
  </si>
  <si>
    <t>Examples of  using Bloomberg's BRB formula</t>
  </si>
  <si>
    <t>SIE GR Equity</t>
  </si>
  <si>
    <t>Open</t>
  </si>
  <si>
    <t>Low</t>
  </si>
  <si>
    <t>Last price</t>
  </si>
  <si>
    <t>BarSz=30</t>
  </si>
  <si>
    <t>Historical values</t>
  </si>
  <si>
    <t>Intraday values</t>
  </si>
  <si>
    <t xml:space="preserve">            The above non-digitized page downloaded</t>
  </si>
  <si>
    <t>0597 022 0001,</t>
  </si>
  <si>
    <t>Reformat the company/page code, in this example</t>
  </si>
  <si>
    <t xml:space="preserve">                               Open</t>
  </si>
  <si>
    <t>interval avg</t>
  </si>
  <si>
    <t>interval std dev</t>
  </si>
  <si>
    <t>SIE GR equity</t>
  </si>
  <si>
    <t>IBM US equity</t>
  </si>
  <si>
    <t>EUSA10 index</t>
  </si>
  <si>
    <t>EUSA5 index</t>
  </si>
  <si>
    <t>DKKSEK curncy</t>
  </si>
  <si>
    <t>EUSA2 index</t>
  </si>
  <si>
    <t>VOD LN equity</t>
  </si>
  <si>
    <t>GBPCHF curncy</t>
  </si>
  <si>
    <t>EURUSD curncy</t>
  </si>
  <si>
    <t>calc interval</t>
  </si>
  <si>
    <t>bid</t>
  </si>
  <si>
    <t>1y</t>
  </si>
  <si>
    <t>Method 1: Absolute data referencing (start/end date specified)</t>
  </si>
  <si>
    <t>market data override</t>
  </si>
  <si>
    <t>end date override</t>
  </si>
  <si>
    <t>start date override</t>
  </si>
  <si>
    <t>AAPL US equity</t>
  </si>
  <si>
    <t xml:space="preserve">       </t>
  </si>
  <si>
    <t>BAYN GR equity</t>
  </si>
  <si>
    <t>FP FP equity</t>
  </si>
  <si>
    <t>close</t>
  </si>
  <si>
    <t>*</t>
  </si>
  <si>
    <t>**</t>
  </si>
  <si>
    <t xml:space="preserve">  Auto colours by Microsoft</t>
  </si>
  <si>
    <t xml:space="preserve">  (under "Conditional Formatting")</t>
  </si>
  <si>
    <t>Calculate average prices, standard deviations, volatility and much more for a given period without downloadning of</t>
  </si>
  <si>
    <t>historical prices! Our interval formula does not require any historical data to be downloaded and you only need to</t>
  </si>
  <si>
    <t>specify start and end date plus the data you want! Specify your securities, interval period and data field(s) and the</t>
  </si>
  <si>
    <t>interval data value will appear; see row 44 for examples.</t>
  </si>
  <si>
    <r>
      <t xml:space="preserve">For </t>
    </r>
    <r>
      <rPr>
        <sz val="11"/>
        <color indexed="10"/>
        <rFont val="Calibri"/>
        <family val="2"/>
      </rPr>
      <t>available data fields</t>
    </r>
    <r>
      <rPr>
        <sz val="11"/>
        <color theme="1"/>
        <rFont val="Calibri"/>
        <family val="3"/>
        <charset val="128"/>
        <scheme val="minor"/>
      </rPr>
      <t xml:space="preserve"> enter "Ticker" FLDS &lt;go&gt;, i.e. SIE GR &lt;Equity&gt; FLDS &lt;go&gt; and use the keyword "Interval"</t>
    </r>
  </si>
  <si>
    <t>to locate all the data fields available in Excel; see below picture.</t>
  </si>
  <si>
    <t>interval low</t>
  </si>
  <si>
    <t>interval high</t>
  </si>
  <si>
    <t>interval sum</t>
  </si>
  <si>
    <t>interval median</t>
  </si>
  <si>
    <t>Method 2: Relative from today (specify how many days or weeks etc. you want to go back)</t>
  </si>
  <si>
    <t xml:space="preserve">Column (G - M)*100 </t>
  </si>
  <si>
    <t>Output values</t>
  </si>
  <si>
    <t>Settle dt</t>
  </si>
  <si>
    <t>Repo settle price</t>
  </si>
  <si>
    <t>Repo reporate</t>
  </si>
  <si>
    <t>Repo face amt</t>
  </si>
  <si>
    <t xml:space="preserve"> Repo term date</t>
  </si>
  <si>
    <t>Repo forward price</t>
  </si>
  <si>
    <t xml:space="preserve"> Repo price drop</t>
  </si>
  <si>
    <t xml:space="preserve"> Repo net income</t>
  </si>
  <si>
    <t xml:space="preserve"> Repo term total</t>
  </si>
  <si>
    <t>Repo term accrued</t>
  </si>
  <si>
    <t>DBR 4 37 Govt</t>
  </si>
  <si>
    <t>w</t>
  </si>
  <si>
    <t>Input values</t>
  </si>
  <si>
    <t>(Tuesday)</t>
  </si>
  <si>
    <t>(Wednesday)</t>
  </si>
  <si>
    <t>Start date</t>
  </si>
  <si>
    <t>Settle Dt</t>
  </si>
  <si>
    <t>m</t>
  </si>
  <si>
    <t>y</t>
  </si>
  <si>
    <t>(T+2)</t>
  </si>
  <si>
    <t>wd</t>
  </si>
  <si>
    <t>CDR=TE</t>
  </si>
  <si>
    <t>Calendar</t>
  </si>
  <si>
    <t>Examples</t>
  </si>
  <si>
    <t>Syntax   =BCountPeriods (StartDate,EndDate,Per, DCB, CDR, NonWorkingDays)</t>
  </si>
  <si>
    <t xml:space="preserve">  StartDate</t>
  </si>
  <si>
    <t xml:space="preserve">  NumberOfPeriods</t>
  </si>
  <si>
    <t>Argument Name</t>
  </si>
  <si>
    <t>Select Inputs</t>
  </si>
  <si>
    <t>Required</t>
  </si>
  <si>
    <t>StartDate</t>
  </si>
  <si>
    <t>EndDate</t>
  </si>
  <si>
    <t>Formula Syntax</t>
  </si>
  <si>
    <t>Argument Value</t>
  </si>
  <si>
    <t>Optional</t>
  </si>
  <si>
    <t>Per</t>
  </si>
  <si>
    <t>Year</t>
  </si>
  <si>
    <t>--------&gt;</t>
  </si>
  <si>
    <t>DCB</t>
  </si>
  <si>
    <t>ICMA-ACT/ACT</t>
  </si>
  <si>
    <t>CDR</t>
  </si>
  <si>
    <t>TE</t>
  </si>
  <si>
    <t>NonWorkingDays</t>
  </si>
  <si>
    <t>SAT SUN</t>
  </si>
  <si>
    <t>Optional Arguments</t>
  </si>
  <si>
    <t>Workday</t>
  </si>
  <si>
    <t>d</t>
  </si>
  <si>
    <t>Day</t>
  </si>
  <si>
    <t>Default</t>
  </si>
  <si>
    <t>ICMA_AA</t>
  </si>
  <si>
    <t>A365</t>
  </si>
  <si>
    <t>ACT/365</t>
  </si>
  <si>
    <t>A360</t>
  </si>
  <si>
    <t>ACT/360</t>
  </si>
  <si>
    <t>30/360</t>
  </si>
  <si>
    <t xml:space="preserve">String expression that is the interval of time you want to count. </t>
  </si>
  <si>
    <t>Default value is "wd" (workday). You can choose from the following:</t>
  </si>
  <si>
    <t>from the following:</t>
  </si>
  <si>
    <t xml:space="preserve">String expression that is the Day Count Basis to use. You can choose </t>
  </si>
  <si>
    <t xml:space="preserve">This is an Optional parameter. If DCB is not specified, no day count </t>
  </si>
  <si>
    <t>convention is used. DCB applies only to Per settings of d and y.</t>
  </si>
  <si>
    <t>String expression representing a single Bloomberg two letter CDR code.  </t>
  </si>
  <si>
    <t xml:space="preserve">Default value is “” (indicating no calendar specific calculations; no </t>
  </si>
  <si>
    <t>States or “TE” for Target Europe.</t>
  </si>
  <si>
    <t xml:space="preserve">holidays are counted for in this setting). For example, “US” for United </t>
  </si>
  <si>
    <t xml:space="preserve">List of non-working days. This is an optional parameter with a default </t>
  </si>
  <si>
    <t>value of “Sat, Sun” representing Saturday and Sunday non-working days.</t>
  </si>
  <si>
    <t xml:space="preserve">Users at various geographical locations may provide other non-working </t>
  </si>
  <si>
    <t>day values such as “Fri, Sat” for example. This is used when counting</t>
  </si>
  <si>
    <t>workdays.</t>
  </si>
  <si>
    <r>
      <t xml:space="preserve">The BEQS formula </t>
    </r>
    <r>
      <rPr>
        <sz val="11"/>
        <color indexed="30"/>
        <rFont val="Calibri"/>
        <family val="2"/>
      </rPr>
      <t>(returns result of an equity search created in Bloomberg via the EQS &lt;go&gt; function)</t>
    </r>
  </si>
  <si>
    <r>
      <rPr>
        <sz val="16"/>
        <color indexed="30"/>
        <rFont val="Calibri"/>
        <family val="2"/>
      </rPr>
      <t>The BINTERPOL formula</t>
    </r>
    <r>
      <rPr>
        <sz val="11"/>
        <color indexed="30"/>
        <rFont val="Calibri"/>
        <family val="2"/>
      </rPr>
      <t xml:space="preserve"> (returns an interpolated result based on a user-input data set)</t>
    </r>
  </si>
  <si>
    <t>Extended example</t>
  </si>
  <si>
    <t>NumberOfPeriods</t>
  </si>
  <si>
    <t>BusDayAdj</t>
  </si>
  <si>
    <t>Modified Following (same month)</t>
  </si>
  <si>
    <t>EOM</t>
  </si>
  <si>
    <t>No Adjustment</t>
  </si>
  <si>
    <t>Wed3</t>
  </si>
  <si>
    <t>q</t>
  </si>
  <si>
    <t>Quarter</t>
  </si>
  <si>
    <t>Month</t>
  </si>
  <si>
    <t>Week</t>
  </si>
  <si>
    <t>Ahead (Following)</t>
  </si>
  <si>
    <t>Back (Preceding)</t>
  </si>
  <si>
    <t>Modified Preceding (same month)</t>
  </si>
  <si>
    <t>EOM if StartDate is EOM</t>
  </si>
  <si>
    <t>Syntax   =BAddPeriods (StartDate, Per, NumberOfPeriods, BusDayAdj, CDR, EOM, Wed3, NonWorkingDays)</t>
  </si>
  <si>
    <t xml:space="preserve">String expression that is the interval of time you want to add. </t>
  </si>
  <si>
    <t xml:space="preserve">Numeric expression that is the number of intervals you want to add. </t>
  </si>
  <si>
    <t xml:space="preserve">It can be positive (to get dates in the future) or negative (to get dates </t>
  </si>
  <si>
    <t xml:space="preserve">in the past).  The default value is 0. When this value is correlated </t>
  </si>
  <si>
    <t xml:space="preserve">with the BusDayAdj setting it results in a nearest business day search </t>
  </si>
  <si>
    <t>that may includes the StartDate itself.</t>
  </si>
  <si>
    <t xml:space="preserve">Integer expression representing the Business Day Adjustment type. </t>
  </si>
  <si>
    <t>Default value is -1. You can choose from the following:</t>
  </si>
  <si>
    <t>holidays are counted for in this setting). For example, “US” for United</t>
  </si>
  <si>
    <t xml:space="preserve"> States or “TE” for Target Europe.</t>
  </si>
  <si>
    <t xml:space="preserve">Integer expression determining whether the date result should be the </t>
  </si>
  <si>
    <t>last (working) day of the month or not. Default value is 0. You can</t>
  </si>
  <si>
    <t>choose from the following:</t>
  </si>
  <si>
    <t xml:space="preserve">Boolean value determining whether the date result should be the third </t>
  </si>
  <si>
    <t>Wednesday of the month or not. Default value is FALSE. If Wed3 result</t>
  </si>
  <si>
    <t xml:space="preserve">falls onto a non-business day, the end result of calculation will be </t>
  </si>
  <si>
    <t xml:space="preserve">determined by the BusDayAdj setting. Wed3 setting is ignored is and </t>
  </si>
  <si>
    <t>the EOM setting is set to ‘True’</t>
  </si>
  <si>
    <t>day values such as “Fri, Sat” for example.</t>
  </si>
  <si>
    <t>BAddPeriods returns a date representing the date to which a specified time interval has been added (or deducted). This function is based on a</t>
  </si>
  <si>
    <r>
      <t xml:space="preserve">    =MID(</t>
    </r>
    <r>
      <rPr>
        <sz val="11"/>
        <color indexed="17"/>
        <rFont val="Calibri"/>
        <family val="2"/>
      </rPr>
      <t>B</t>
    </r>
    <r>
      <rPr>
        <sz val="11"/>
        <color indexed="17"/>
        <rFont val="Calibri"/>
        <family val="2"/>
      </rPr>
      <t>63</t>
    </r>
    <r>
      <rPr>
        <sz val="11"/>
        <color theme="1"/>
        <rFont val="Calibri"/>
        <family val="3"/>
        <charset val="128"/>
        <scheme val="minor"/>
      </rPr>
      <t>,</t>
    </r>
    <r>
      <rPr>
        <sz val="11"/>
        <color indexed="10"/>
        <rFont val="Calibri"/>
        <family val="2"/>
      </rPr>
      <t>22</t>
    </r>
    <r>
      <rPr>
        <sz val="11"/>
        <color theme="1"/>
        <rFont val="Calibri"/>
        <family val="3"/>
        <charset val="128"/>
        <scheme val="minor"/>
      </rPr>
      <t>,</t>
    </r>
    <r>
      <rPr>
        <sz val="11"/>
        <color indexed="12"/>
        <rFont val="Calibri"/>
        <family val="2"/>
      </rPr>
      <t>4</t>
    </r>
    <r>
      <rPr>
        <sz val="11"/>
        <color theme="1"/>
        <rFont val="Calibri"/>
        <family val="3"/>
        <charset val="128"/>
        <scheme val="minor"/>
      </rPr>
      <t>)</t>
    </r>
  </si>
  <si>
    <r>
      <t xml:space="preserve">        =MID(</t>
    </r>
    <r>
      <rPr>
        <sz val="11"/>
        <color indexed="17"/>
        <rFont val="Calibri"/>
        <family val="2"/>
      </rPr>
      <t>B6</t>
    </r>
    <r>
      <rPr>
        <sz val="11"/>
        <color indexed="17"/>
        <rFont val="Calibri"/>
        <family val="2"/>
      </rPr>
      <t>3</t>
    </r>
    <r>
      <rPr>
        <sz val="11"/>
        <color theme="1"/>
        <rFont val="Calibri"/>
        <family val="3"/>
        <charset val="128"/>
        <scheme val="minor"/>
      </rPr>
      <t>,</t>
    </r>
    <r>
      <rPr>
        <sz val="11"/>
        <color indexed="10"/>
        <rFont val="Calibri"/>
        <family val="2"/>
      </rPr>
      <t>12</t>
    </r>
    <r>
      <rPr>
        <sz val="11"/>
        <color theme="1"/>
        <rFont val="Calibri"/>
        <family val="3"/>
        <charset val="128"/>
        <scheme val="minor"/>
      </rPr>
      <t>,</t>
    </r>
    <r>
      <rPr>
        <sz val="11"/>
        <color indexed="12"/>
        <rFont val="Calibri"/>
        <family val="2"/>
      </rPr>
      <t>4</t>
    </r>
    <r>
      <rPr>
        <sz val="11"/>
        <color theme="1"/>
        <rFont val="Calibri"/>
        <family val="3"/>
        <charset val="128"/>
        <scheme val="minor"/>
      </rPr>
      <t>)</t>
    </r>
  </si>
  <si>
    <t>Period Length</t>
  </si>
  <si>
    <t>No. of Periods</t>
  </si>
  <si>
    <r>
      <t xml:space="preserve">The BAddPeriods formula </t>
    </r>
    <r>
      <rPr>
        <sz val="11"/>
        <color indexed="30"/>
        <rFont val="Calibri"/>
        <family val="2"/>
      </rPr>
      <t>(returns a date)</t>
    </r>
  </si>
  <si>
    <t>default Monday-Friday  trading week. However alternative non-working days can be provided. Note, that not all variables are needed but as a minimum 4 data</t>
  </si>
  <si>
    <t xml:space="preserve">  EndDate</t>
  </si>
  <si>
    <t xml:space="preserve">BCountPeriods returns the number of periods between a Start Date and an End Date for a specific country, settlement and other types of calendars. </t>
  </si>
  <si>
    <t>This function is based on default Monday-Friday trading week, however alternative non-working days can be provided. Note, that not all variables are</t>
  </si>
  <si>
    <t>CDR=US</t>
  </si>
  <si>
    <t>Period</t>
  </si>
  <si>
    <t>Daycount Basis</t>
  </si>
  <si>
    <t>(days or years)</t>
  </si>
  <si>
    <t>Resulting Dates</t>
  </si>
  <si>
    <t>(weekday,week, year)</t>
  </si>
  <si>
    <t>(EUR)</t>
  </si>
  <si>
    <t>(All good dates)</t>
  </si>
  <si>
    <t>End date</t>
  </si>
  <si>
    <r>
      <t>The BCountPeriods formula</t>
    </r>
    <r>
      <rPr>
        <sz val="11"/>
        <color indexed="30"/>
        <rFont val="Calibri"/>
        <family val="2"/>
      </rPr>
      <t xml:space="preserve"> (returns number of days between 2 dates)</t>
    </r>
  </si>
  <si>
    <t>Result</t>
  </si>
  <si>
    <t>or ACT/365 or 30/360)</t>
  </si>
  <si>
    <t>(ICMA-ACT/ACT or ACT/360</t>
  </si>
  <si>
    <t>End Date</t>
  </si>
  <si>
    <t>CDR=EN</t>
  </si>
  <si>
    <t>Output</t>
  </si>
  <si>
    <t>(English Calendar)</t>
  </si>
  <si>
    <t>(USA Calendar)</t>
  </si>
  <si>
    <t>fields are advisable (must always begin with "Start Date") and are:</t>
  </si>
  <si>
    <t>DCB=ICMA_AA</t>
  </si>
  <si>
    <t>needed but as a minimum 2 data fields are advisable (must begin with the "StartDate") and are:</t>
  </si>
  <si>
    <t>Output (days)</t>
  </si>
  <si>
    <t>(Day,Workday,Year)</t>
  </si>
  <si>
    <t>DCB=A360</t>
  </si>
  <si>
    <t>Total amount</t>
  </si>
  <si>
    <t>des cash flow</t>
  </si>
  <si>
    <t>Yield forecast from the BYFC &lt;go&gt; function</t>
  </si>
  <si>
    <t>bond yield forecast</t>
  </si>
  <si>
    <t>GT10 govt</t>
  </si>
  <si>
    <t>Cash flows for a bond from the CSHF function</t>
  </si>
  <si>
    <t>cds curve info</t>
  </si>
  <si>
    <t>6 mo</t>
  </si>
  <si>
    <t>CVOD1E1</t>
  </si>
  <si>
    <t>1 yr</t>
  </si>
  <si>
    <t>CVOD1E2</t>
  </si>
  <si>
    <t>2 yr</t>
  </si>
  <si>
    <t>CVOD1E3</t>
  </si>
  <si>
    <t>3 yr</t>
  </si>
  <si>
    <t>CT362084</t>
  </si>
  <si>
    <t>4 yr</t>
  </si>
  <si>
    <t>CVOD1E5</t>
  </si>
  <si>
    <t>5 yr</t>
  </si>
  <si>
    <t>CVOD1E7</t>
  </si>
  <si>
    <t>7 yr</t>
  </si>
  <si>
    <t>CVOD1E10</t>
  </si>
  <si>
    <t>10 yr</t>
  </si>
  <si>
    <t>Syntax   =BCountPeriods (StartDate,EndDate,Per,DCB,CDR,NonWorkingDays)</t>
  </si>
  <si>
    <t>Syntax   =BAddPeriods (StartDate,Per,NumberOfPeriods,BusDayAdj,Calendar,EOM,Wed3,NonWorkingDays)</t>
  </si>
  <si>
    <t>Syntax   =BDS(security,field,[Optional arguments])</t>
  </si>
  <si>
    <t>Syntax    =BDP(security,field)</t>
  </si>
  <si>
    <t>cie des bulk</t>
  </si>
  <si>
    <t>include technologies, systems, products, services, software, and financing. IBM</t>
  </si>
  <si>
    <t>offers its products through its global sales and distribution organization, as</t>
  </si>
  <si>
    <t>well as through a variety of third party distributors and resellers.</t>
  </si>
  <si>
    <t>indx mweight</t>
  </si>
  <si>
    <t>Calendar end date</t>
  </si>
  <si>
    <t>kfx index</t>
  </si>
  <si>
    <t>Calendar start date</t>
  </si>
  <si>
    <t>CHR DC</t>
  </si>
  <si>
    <t>Settlement calendar code</t>
  </si>
  <si>
    <t>EN</t>
  </si>
  <si>
    <t>COLOB DC</t>
  </si>
  <si>
    <t>VOD LN Equity</t>
  </si>
  <si>
    <t>calendar holidays</t>
  </si>
  <si>
    <t>DANSKE DC</t>
  </si>
  <si>
    <t>DSV DC</t>
  </si>
  <si>
    <t>GN DC</t>
  </si>
  <si>
    <t>MAERSKB DC</t>
  </si>
  <si>
    <t>NOVOB DC</t>
  </si>
  <si>
    <t>NZYMB DC</t>
  </si>
  <si>
    <t>TDC DC</t>
  </si>
  <si>
    <t>VWS DC</t>
  </si>
  <si>
    <t>WDH DC</t>
  </si>
  <si>
    <t>opt chain</t>
  </si>
  <si>
    <t>px last</t>
  </si>
  <si>
    <t>Top 20 holders</t>
  </si>
  <si>
    <t>top holders inst type override</t>
  </si>
  <si>
    <t>top 20 holders public filings</t>
  </si>
  <si>
    <t>13F</t>
  </si>
  <si>
    <t>New York City/Southern CT/Northern NJ</t>
  </si>
  <si>
    <t xml:space="preserve">    =BDS(B56,C55)</t>
  </si>
  <si>
    <t xml:space="preserve">   =BDS(B86,C86,B83:B85,C83:C85)</t>
  </si>
  <si>
    <t>Resulting date</t>
  </si>
  <si>
    <t>The BDH (Bloomberg Data History) formula</t>
  </si>
  <si>
    <t>rxa comdty</t>
  </si>
  <si>
    <t>sie gr equity</t>
  </si>
  <si>
    <t>eusa10 curncy</t>
  </si>
  <si>
    <t>eur curncy</t>
  </si>
  <si>
    <t>Display order</t>
  </si>
  <si>
    <t>Change currency and display order</t>
  </si>
  <si>
    <t>Referencing optional parameters "outside"</t>
  </si>
  <si>
    <t>dir</t>
  </si>
  <si>
    <t>curr</t>
  </si>
  <si>
    <t>Holiday but data</t>
  </si>
  <si>
    <t>still available!</t>
  </si>
  <si>
    <t>Display data series vertically in a smart way</t>
  </si>
  <si>
    <t>dbk gr equity</t>
  </si>
  <si>
    <t>dte gr equity</t>
  </si>
  <si>
    <t>short and long term debt</t>
  </si>
  <si>
    <t>bas gr equity</t>
  </si>
  <si>
    <t>Relative Dates</t>
  </si>
  <si>
    <t>Intraday data - 10 min intervals for time frame</t>
  </si>
  <si>
    <t>BarSz=10</t>
  </si>
  <si>
    <t>BarTp=T</t>
  </si>
  <si>
    <t>Intraday data - another example</t>
  </si>
  <si>
    <t>vod 5 18 corp@cbbt corp</t>
  </si>
  <si>
    <t>BarSz</t>
  </si>
  <si>
    <t>BarTp</t>
  </si>
  <si>
    <t>b</t>
  </si>
  <si>
    <t>=BDH($I13,J$11,$I$11,$I$11)</t>
  </si>
  <si>
    <t xml:space="preserve"> 1 = 1 min intervals</t>
  </si>
  <si>
    <t xml:space="preserve"> b = bid</t>
  </si>
  <si>
    <t xml:space="preserve"> start date &amp; time</t>
  </si>
  <si>
    <t xml:space="preserve"> end date &amp; time</t>
  </si>
  <si>
    <t>ed-1fq</t>
  </si>
  <si>
    <t>per=am</t>
  </si>
  <si>
    <t xml:space="preserve">    =BDH(B134,B133,B131,B132,B135)</t>
  </si>
  <si>
    <t>usd</t>
  </si>
  <si>
    <t>sort</t>
  </si>
  <si>
    <t>bank</t>
  </si>
  <si>
    <t>insurance company</t>
  </si>
  <si>
    <t>endowment</t>
  </si>
  <si>
    <t>hedge fund manager</t>
  </si>
  <si>
    <t>investment advisor</t>
  </si>
  <si>
    <t>mutual fund manager</t>
  </si>
  <si>
    <t>pension fund erisa</t>
  </si>
  <si>
    <t>pub retirement fund</t>
  </si>
  <si>
    <t>other</t>
  </si>
  <si>
    <t>private equity</t>
  </si>
  <si>
    <t>holding company</t>
  </si>
  <si>
    <t>venture capital</t>
  </si>
  <si>
    <t>corporation</t>
  </si>
  <si>
    <t>government</t>
  </si>
  <si>
    <t>available:</t>
  </si>
  <si>
    <t>=BDH(B69,B68,B66,B67,B70:B72,C70:C72)</t>
  </si>
  <si>
    <t>The BDS (Bloomberg Data Set) formula</t>
  </si>
  <si>
    <t>Syntax    =BDS(Security,Field)</t>
  </si>
  <si>
    <t>Download the constituents and rates of yield curves (Government, Swap and Fair Market Curves) on any given dates into Excel.</t>
  </si>
  <si>
    <t>If todays date is used then the curve rates will update in realtime.</t>
  </si>
  <si>
    <t>Example of curve tickers in Excel</t>
  </si>
  <si>
    <t>3M</t>
  </si>
  <si>
    <t>6M</t>
  </si>
  <si>
    <t>1Y</t>
  </si>
  <si>
    <t>2Y</t>
  </si>
  <si>
    <t>3Y</t>
  </si>
  <si>
    <t>4Y</t>
  </si>
  <si>
    <t>5Y</t>
  </si>
  <si>
    <t>6Y</t>
  </si>
  <si>
    <t>7Y</t>
  </si>
  <si>
    <t>8Y</t>
  </si>
  <si>
    <t>9Y</t>
  </si>
  <si>
    <t>10Y</t>
  </si>
  <si>
    <t>15Y</t>
  </si>
  <si>
    <t>20Y</t>
  </si>
  <si>
    <t>30Y</t>
  </si>
  <si>
    <t>Interval calculations without use of timeseries via BDP</t>
  </si>
  <si>
    <t>=BDH(C11,D13:E13,D11,E11)</t>
  </si>
  <si>
    <t xml:space="preserve">       =BPGE(D55)</t>
  </si>
  <si>
    <t xml:space="preserve">Credit Default Swap data for Vodafone </t>
  </si>
  <si>
    <t>Autoupdate your Powerpoint Data, Tables and Graphs automatically via Excel</t>
  </si>
  <si>
    <r>
      <t xml:space="preserve">API Developer's Help Site </t>
    </r>
    <r>
      <rPr>
        <sz val="11"/>
        <color indexed="30"/>
        <rFont val="Calibri"/>
        <family val="2"/>
      </rPr>
      <t>(</t>
    </r>
    <r>
      <rPr>
        <sz val="11"/>
        <color indexed="30"/>
        <rFont val="Calibri"/>
        <family val="2"/>
      </rPr>
      <t>inc</t>
    </r>
    <r>
      <rPr>
        <sz val="11"/>
        <color indexed="30"/>
        <rFont val="Calibri"/>
        <family val="2"/>
      </rPr>
      <t>luding VBA Programming and much more)</t>
    </r>
  </si>
  <si>
    <t>accordingly!</t>
  </si>
  <si>
    <t>If the price provider changes the location of the data</t>
  </si>
  <si>
    <t>Portfolio data</t>
  </si>
  <si>
    <t>PORTFOLIO_MEMBERS</t>
  </si>
  <si>
    <t>PORTFOLIO_MWEIGHT</t>
  </si>
  <si>
    <t>PORTFOLIO_DATA</t>
  </si>
  <si>
    <t>PORTFOLIO_MPOSITION</t>
  </si>
  <si>
    <t>PORTFOLIO_BENCHMARK</t>
  </si>
  <si>
    <t>PORTFOLIO_BASE_CURRENCY</t>
  </si>
  <si>
    <t>PORTFOLIO_NAME</t>
  </si>
  <si>
    <t>PORTFOLIO_POSITION_TYPE</t>
  </si>
  <si>
    <t>PORTFOLIO_ASSET_CLASS</t>
  </si>
  <si>
    <t>Portfolio ID</t>
  </si>
  <si>
    <t>(Bulk Datafields)</t>
  </si>
  <si>
    <t>(Regular single fields)</t>
  </si>
  <si>
    <t>dur bid</t>
  </si>
  <si>
    <t>des notes</t>
  </si>
  <si>
    <t>ED444425 Corp</t>
  </si>
  <si>
    <t>Examples using ID codes (ISIN etc) and default pricing provider</t>
  </si>
  <si>
    <t>security name</t>
  </si>
  <si>
    <t>name</t>
  </si>
  <si>
    <t>What is it?</t>
  </si>
  <si>
    <t>Example:</t>
  </si>
  <si>
    <t>int acc</t>
  </si>
  <si>
    <t xml:space="preserve">px bid </t>
  </si>
  <si>
    <t>yas bond px</t>
  </si>
  <si>
    <t>yas ispread</t>
  </si>
  <si>
    <t>yas zspread</t>
  </si>
  <si>
    <t>settle dt</t>
  </si>
  <si>
    <t>(yyyymmdd)</t>
  </si>
  <si>
    <t>sw market val</t>
  </si>
  <si>
    <t>sw net acc int</t>
  </si>
  <si>
    <t>sw eqv bpv</t>
  </si>
  <si>
    <t>rec curve name</t>
  </si>
  <si>
    <t>pay curve name</t>
  </si>
  <si>
    <t>rec forecast curve name</t>
  </si>
  <si>
    <t>pay forecast curve name</t>
  </si>
  <si>
    <t>sw curve dt</t>
  </si>
  <si>
    <t>USER:EUR +100</t>
  </si>
  <si>
    <t>-</t>
  </si>
  <si>
    <t>sales rev turn</t>
  </si>
  <si>
    <t>pe ratio</t>
  </si>
  <si>
    <t>eqy fund year</t>
  </si>
  <si>
    <t>eqy fund per</t>
  </si>
  <si>
    <t>eqy fund crncy</t>
  </si>
  <si>
    <t>q2</t>
  </si>
  <si>
    <t>q4</t>
  </si>
  <si>
    <t>best eps</t>
  </si>
  <si>
    <t>best ebitda</t>
  </si>
  <si>
    <t>best fiscal period dt</t>
  </si>
  <si>
    <t>best data source override</t>
  </si>
  <si>
    <t>vwap volume</t>
  </si>
  <si>
    <t>vwap num trades</t>
  </si>
  <si>
    <t>eqy weighted avg px</t>
  </si>
  <si>
    <t>vwap start dt</t>
  </si>
  <si>
    <t>vwap end dt</t>
  </si>
  <si>
    <t>cust trr return annualized</t>
  </si>
  <si>
    <t>chg pct 1m</t>
  </si>
  <si>
    <t>cust trr start dt</t>
  </si>
  <si>
    <t>cust trr end dt</t>
  </si>
  <si>
    <t>eqy beta adj overridable</t>
  </si>
  <si>
    <t>eqy corr coef</t>
  </si>
  <si>
    <t>Eqy beta override rel index</t>
  </si>
  <si>
    <t>Eqy beta override start dt</t>
  </si>
  <si>
    <t>Eqy beta override end dt</t>
  </si>
  <si>
    <t>Eqy beta override period</t>
  </si>
  <si>
    <t>fwd curve quote format</t>
  </si>
  <si>
    <t>outright</t>
  </si>
  <si>
    <t>points</t>
  </si>
  <si>
    <t>Fields type definitions</t>
  </si>
  <si>
    <t>Locating overridable fields and mnemonics</t>
  </si>
  <si>
    <t xml:space="preserve"> 1) Enter your securities in Excel</t>
  </si>
  <si>
    <t xml:space="preserve">                           x3</t>
  </si>
  <si>
    <t xml:space="preserve">                           x2</t>
  </si>
  <si>
    <t xml:space="preserve">                           x1</t>
  </si>
  <si>
    <t xml:space="preserve">               Output fields ("Reactive" and "non-reactive" fields)</t>
  </si>
  <si>
    <t>Date and price field imbedded into the formula</t>
  </si>
  <si>
    <t>Syntax    =BDP(Security,Field,"UpdateFrequency=120000")</t>
  </si>
  <si>
    <t xml:space="preserve">  Use  .  to separate decimals</t>
  </si>
  <si>
    <t>With Limit</t>
  </si>
  <si>
    <t xml:space="preserve">  120 seconds</t>
  </si>
  <si>
    <t xml:space="preserve">  60 seconds</t>
  </si>
  <si>
    <t xml:space="preserve">  30 seconds</t>
  </si>
  <si>
    <t xml:space="preserve">  10 seconds</t>
  </si>
  <si>
    <t xml:space="preserve">  5 seconds</t>
  </si>
  <si>
    <t xml:space="preserve">  1 second</t>
  </si>
  <si>
    <t xml:space="preserve">  300 milliseconds (minimum ) </t>
  </si>
  <si>
    <t>No Limit</t>
  </si>
  <si>
    <t>Regular (no limit)</t>
  </si>
  <si>
    <t>=BDP($B11,C$10)</t>
  </si>
  <si>
    <t>Indicates fields are overridable</t>
  </si>
  <si>
    <t>sw type</t>
  </si>
  <si>
    <t>sw rec crncy</t>
  </si>
  <si>
    <t>sw pay crncy</t>
  </si>
  <si>
    <t>sw pay cpn</t>
  </si>
  <si>
    <t>sw rec cpn</t>
  </si>
  <si>
    <t>receive market value</t>
  </si>
  <si>
    <t>pay market value</t>
  </si>
  <si>
    <t>EURDKK Curncy</t>
  </si>
  <si>
    <t>asset swap spd mid</t>
  </si>
  <si>
    <t>dividend yield</t>
  </si>
  <si>
    <t xml:space="preserve">                           =BDP($B114,G$113,"UpdateFrequency=60000")</t>
  </si>
  <si>
    <t>Enter your start date here</t>
  </si>
  <si>
    <t>Enter your end date here</t>
  </si>
  <si>
    <t xml:space="preserve">  FX Options</t>
  </si>
  <si>
    <t>eur2m curncy</t>
  </si>
  <si>
    <t>Your date</t>
  </si>
  <si>
    <t>No. of days</t>
  </si>
  <si>
    <t>Resulting GOOD day</t>
  </si>
  <si>
    <t>Number of the days before/after a date and falls on a business date</t>
  </si>
  <si>
    <t>Number of the days before/after a date and resulting date falls on a business day</t>
  </si>
  <si>
    <t>5) Now drag formula across and then down to finish the job!</t>
  </si>
  <si>
    <t>=BDP($B89,C$88,$F$88:$H$88,$F89:$H89)</t>
  </si>
  <si>
    <r>
      <t xml:space="preserve">c) </t>
    </r>
    <r>
      <rPr>
        <u/>
        <sz val="11"/>
        <rFont val="Calibri"/>
        <family val="2"/>
      </rPr>
      <t>General</t>
    </r>
    <r>
      <rPr>
        <sz val="11"/>
        <rFont val="Calibri"/>
        <family val="2"/>
      </rPr>
      <t xml:space="preserve"> fields (just displays the data requested) e.g. ID number, Name of Stock, Dividend, Exchange, Sector, Maturity Date, etc.</t>
    </r>
  </si>
  <si>
    <t xml:space="preserve">Overrides values </t>
  </si>
  <si>
    <t xml:space="preserve">                                    =BDS(B22,C23)</t>
  </si>
  <si>
    <t xml:space="preserve"> (Start column)</t>
  </si>
  <si>
    <t xml:space="preserve"> (End column)</t>
  </si>
  <si>
    <t xml:space="preserve">                                                                </t>
  </si>
  <si>
    <r>
      <t xml:space="preserve">The BRB formula </t>
    </r>
    <r>
      <rPr>
        <sz val="11"/>
        <color indexed="30"/>
        <rFont val="Calibri"/>
        <family val="2"/>
      </rPr>
      <t>(Bloomberg realtime intraday and/or historical bars in Excel )</t>
    </r>
  </si>
  <si>
    <t>TE = Target (EUR) calendar</t>
  </si>
  <si>
    <t xml:space="preserve">  If data is required in a single cell then add "aggregate=y" to the formula     =BDS(B45,C44,"aggregate=y")</t>
  </si>
  <si>
    <t>*No data will appear below unless you use your own portfolio ID</t>
  </si>
  <si>
    <t xml:space="preserve">  =BDS(G55,I55)</t>
  </si>
  <si>
    <t xml:space="preserve">   =BDS(B134,C133)</t>
  </si>
  <si>
    <t>=BDH(B82,B81,B79,B80,"days=w, fill=c")</t>
  </si>
  <si>
    <t>=BDH(B96,B95,B93,B94,"days=w, fill=c, sort=d")</t>
  </si>
  <si>
    <t>=BDH(B110,$B$109,$B$107,$B$108,"days=w, fill=c, dir=h")</t>
  </si>
  <si>
    <t xml:space="preserve">                       =BDH(H139,H138,H137)</t>
  </si>
  <si>
    <t xml:space="preserve">   =BDH(B150,B151,B152,B153,B154,B155)</t>
  </si>
  <si>
    <t xml:space="preserve">  =BDH(B166,B167,B168+C168,B169+C169,B170,C170,B171,C171)</t>
  </si>
  <si>
    <t>X Days before  or after a date so that it always falls on a business date (see tab "BAddPeriods")</t>
  </si>
  <si>
    <t xml:space="preserve">         in milliseconds</t>
  </si>
  <si>
    <r>
      <rPr>
        <sz val="16"/>
        <color indexed="30"/>
        <rFont val="Calibri"/>
        <family val="2"/>
      </rPr>
      <t xml:space="preserve">The BDS formula </t>
    </r>
    <r>
      <rPr>
        <sz val="11"/>
        <color indexed="30"/>
        <rFont val="Calibri"/>
        <family val="2"/>
      </rPr>
      <t>("Bloomberg Data Set" - returns multi-cell descriptive or numeric data to Excel spreadsheet)</t>
    </r>
  </si>
  <si>
    <r>
      <t xml:space="preserve">The BTP (Bloomberg Technical Point) formula </t>
    </r>
    <r>
      <rPr>
        <sz val="11"/>
        <color indexed="30"/>
        <rFont val="Calibri"/>
        <family val="2"/>
      </rPr>
      <t>(returns realtime technical analysis datapoint)</t>
    </r>
  </si>
  <si>
    <t xml:space="preserve">Syntax    =BTP(Security, outputName, study, period)     </t>
  </si>
  <si>
    <t>Using the Bloomberg toolbar</t>
  </si>
  <si>
    <t>Weighted Moving Average</t>
  </si>
  <si>
    <t>USDJPY Curncy</t>
  </si>
  <si>
    <t>WMAVG</t>
  </si>
  <si>
    <t>Moving Average Convergence/Divergence</t>
  </si>
  <si>
    <t>DSClose</t>
  </si>
  <si>
    <t>LAST_PRICE</t>
  </si>
  <si>
    <t>TAPeriod</t>
  </si>
  <si>
    <t>MACD</t>
  </si>
  <si>
    <t>Study</t>
  </si>
  <si>
    <t>MACD_DIFF</t>
  </si>
  <si>
    <t>MACD_SIGNAL</t>
  </si>
  <si>
    <t>MAPeriod1</t>
  </si>
  <si>
    <t>MAPeriod2</t>
  </si>
  <si>
    <t>SIGPeriod</t>
  </si>
  <si>
    <t>EURUSD Curncy</t>
  </si>
  <si>
    <t>EURJPY Curncy</t>
  </si>
  <si>
    <r>
      <t xml:space="preserve">The BTH (Bloomberg Technical History) formula </t>
    </r>
    <r>
      <rPr>
        <sz val="11"/>
        <color indexed="30"/>
        <rFont val="Calibri"/>
        <family val="2"/>
      </rPr>
      <t>(returns technical analysis and results)</t>
    </r>
  </si>
  <si>
    <t>Syntax    =BTH(security, outputNameRange, startDateTime, endDateTime, study, [optional arguments])</t>
  </si>
  <si>
    <t>SMAVG</t>
  </si>
  <si>
    <t>Simple Moving Average</t>
  </si>
  <si>
    <t>Security</t>
  </si>
  <si>
    <t>Output Name</t>
  </si>
  <si>
    <t>PX_LAST</t>
  </si>
  <si>
    <t>Sort</t>
  </si>
  <si>
    <t>A</t>
  </si>
  <si>
    <t>QtTyp</t>
  </si>
  <si>
    <t>W</t>
  </si>
  <si>
    <t>CD</t>
  </si>
  <si>
    <t>UseDPDF</t>
  </si>
  <si>
    <t>Y</t>
  </si>
  <si>
    <t>Simple M Avg</t>
  </si>
  <si>
    <t>TK</t>
    <phoneticPr fontId="159"/>
  </si>
  <si>
    <t>Fiji</t>
    <phoneticPr fontId="0" type="noConversion"/>
  </si>
  <si>
    <t>Mexico_City</t>
    <phoneticPr fontId="0" type="noConversion"/>
  </si>
  <si>
    <t>Phoenix</t>
    <phoneticPr fontId="0" type="noConversion"/>
  </si>
  <si>
    <t>BarTp</t>
    <phoneticPr fontId="0" type="noConversion"/>
  </si>
  <si>
    <t>Syntax    =BDH(Security,Fields,Start Date,End Date,[Optional arguments])</t>
  </si>
  <si>
    <r>
      <t xml:space="preserve">Historical prices and yields for a </t>
    </r>
    <r>
      <rPr>
        <sz val="11"/>
        <color indexed="30"/>
        <rFont val="Calibri"/>
        <family val="2"/>
      </rPr>
      <t>single security</t>
    </r>
    <r>
      <rPr>
        <sz val="11"/>
        <color indexed="62"/>
        <rFont val="Calibri"/>
        <family val="2"/>
      </rPr>
      <t xml:space="preserve"> </t>
    </r>
    <r>
      <rPr>
        <sz val="11"/>
        <rFont val="Calibri"/>
        <family val="2"/>
      </rPr>
      <t xml:space="preserve">given a </t>
    </r>
    <r>
      <rPr>
        <sz val="11"/>
        <color indexed="30"/>
        <rFont val="Calibri"/>
        <family val="2"/>
      </rPr>
      <t>start and end date</t>
    </r>
  </si>
  <si>
    <r>
      <t xml:space="preserve">Historical prices for </t>
    </r>
    <r>
      <rPr>
        <sz val="11"/>
        <color indexed="30"/>
        <rFont val="Calibri"/>
        <family val="2"/>
      </rPr>
      <t xml:space="preserve">multiple securities </t>
    </r>
    <r>
      <rPr>
        <sz val="11"/>
        <rFont val="Calibri"/>
        <family val="2"/>
      </rPr>
      <t xml:space="preserve">on a </t>
    </r>
    <r>
      <rPr>
        <sz val="11"/>
        <color indexed="30"/>
        <rFont val="Calibri"/>
        <family val="2"/>
      </rPr>
      <t xml:space="preserve">specific date </t>
    </r>
  </si>
  <si>
    <r>
      <rPr>
        <u/>
        <sz val="11"/>
        <color indexed="30"/>
        <rFont val="Calibri"/>
        <family val="2"/>
      </rPr>
      <t xml:space="preserve">e </t>
    </r>
    <r>
      <rPr>
        <sz val="11"/>
        <color indexed="30"/>
        <rFont val="Calibri"/>
        <family val="2"/>
      </rPr>
      <t xml:space="preserve">nd </t>
    </r>
    <r>
      <rPr>
        <u/>
        <sz val="11"/>
        <color indexed="30"/>
        <rFont val="Calibri"/>
        <family val="2"/>
      </rPr>
      <t xml:space="preserve">d </t>
    </r>
    <r>
      <rPr>
        <sz val="11"/>
        <color indexed="30"/>
        <rFont val="Calibri"/>
        <family val="2"/>
      </rPr>
      <t xml:space="preserve">ate minus  </t>
    </r>
    <r>
      <rPr>
        <u/>
        <sz val="11"/>
        <color indexed="30"/>
        <rFont val="Calibri"/>
        <family val="2"/>
      </rPr>
      <t>1</t>
    </r>
    <r>
      <rPr>
        <sz val="11"/>
        <color indexed="30"/>
        <rFont val="Calibri"/>
        <family val="2"/>
      </rPr>
      <t xml:space="preserve">  </t>
    </r>
    <r>
      <rPr>
        <u/>
        <sz val="11"/>
        <color indexed="30"/>
        <rFont val="Calibri"/>
        <family val="2"/>
      </rPr>
      <t xml:space="preserve">f </t>
    </r>
    <r>
      <rPr>
        <sz val="11"/>
        <color indexed="30"/>
        <rFont val="Calibri"/>
        <family val="2"/>
      </rPr>
      <t>iscal quarters</t>
    </r>
  </si>
  <si>
    <t>Adelaide</t>
    <phoneticPr fontId="0" type="noConversion"/>
  </si>
  <si>
    <t>Almaty</t>
    <phoneticPr fontId="0" type="noConversion"/>
  </si>
  <si>
    <t>Hong_Kong</t>
    <phoneticPr fontId="0" type="noConversion"/>
  </si>
  <si>
    <t>Anchorage</t>
    <phoneticPr fontId="0" type="noConversion"/>
  </si>
  <si>
    <t>Athens</t>
    <phoneticPr fontId="0" type="noConversion"/>
  </si>
  <si>
    <t>Auckland</t>
    <phoneticPr fontId="0" type="noConversion"/>
  </si>
  <si>
    <t>Azores</t>
    <phoneticPr fontId="0" type="noConversion"/>
  </si>
  <si>
    <t>Bangkok</t>
    <phoneticPr fontId="0" type="noConversion"/>
  </si>
  <si>
    <t>Berlin</t>
    <phoneticPr fontId="0" type="noConversion"/>
  </si>
  <si>
    <t>Bogota</t>
    <phoneticPr fontId="0" type="noConversion"/>
  </si>
  <si>
    <t>Brisbane</t>
    <phoneticPr fontId="0" type="noConversion"/>
  </si>
  <si>
    <t>Cairo</t>
    <phoneticPr fontId="0" type="noConversion"/>
  </si>
  <si>
    <t>Calcutta</t>
    <phoneticPr fontId="0" type="noConversion"/>
  </si>
  <si>
    <t>Caracas</t>
    <phoneticPr fontId="0" type="noConversion"/>
  </si>
  <si>
    <t>Chicago</t>
    <phoneticPr fontId="0" type="noConversion"/>
  </si>
  <si>
    <t>Darwin</t>
    <phoneticPr fontId="0" type="noConversion"/>
  </si>
  <si>
    <t>Denver</t>
    <phoneticPr fontId="0" type="noConversion"/>
  </si>
  <si>
    <t>Dhaka</t>
    <phoneticPr fontId="0" type="noConversion"/>
  </si>
  <si>
    <t>Dubai</t>
    <phoneticPr fontId="0" type="noConversion"/>
  </si>
  <si>
    <t>Guadalcanal</t>
    <phoneticPr fontId="0" type="noConversion"/>
  </si>
  <si>
    <t>Halifax</t>
    <phoneticPr fontId="0" type="noConversion"/>
  </si>
  <si>
    <t>Hobart</t>
    <phoneticPr fontId="0" type="noConversion"/>
  </si>
  <si>
    <t>Honolulu</t>
    <phoneticPr fontId="0" type="noConversion"/>
  </si>
  <si>
    <t>Jerusalem</t>
    <phoneticPr fontId="0" type="noConversion"/>
  </si>
  <si>
    <t>Johannesburg</t>
    <phoneticPr fontId="0" type="noConversion"/>
  </si>
  <si>
    <t>Kabul</t>
    <phoneticPr fontId="0" type="noConversion"/>
  </si>
  <si>
    <t>Karachi</t>
    <phoneticPr fontId="0" type="noConversion"/>
  </si>
  <si>
    <t>Kiev</t>
    <phoneticPr fontId="0" type="noConversion"/>
  </si>
  <si>
    <t>London</t>
    <phoneticPr fontId="0" type="noConversion"/>
  </si>
  <si>
    <t>Los_Angeles</t>
    <phoneticPr fontId="0" type="noConversion"/>
  </si>
  <si>
    <t>Majuro</t>
    <phoneticPr fontId="0" type="noConversion"/>
  </si>
  <si>
    <t>Melbourne</t>
    <phoneticPr fontId="0" type="noConversion"/>
  </si>
  <si>
    <t>Midway</t>
    <phoneticPr fontId="0" type="noConversion"/>
  </si>
  <si>
    <t>Moscow</t>
    <phoneticPr fontId="0" type="noConversion"/>
  </si>
  <si>
    <t>New_York</t>
    <phoneticPr fontId="0" type="noConversion"/>
  </si>
  <si>
    <t>Noronha</t>
    <phoneticPr fontId="0" type="noConversion"/>
  </si>
  <si>
    <t>Regina</t>
    <phoneticPr fontId="0" type="noConversion"/>
  </si>
  <si>
    <t>Riyadh</t>
    <phoneticPr fontId="0" type="noConversion"/>
  </si>
  <si>
    <t>Santiago</t>
    <phoneticPr fontId="0" type="noConversion"/>
  </si>
  <si>
    <t>Sao_Paulo</t>
    <phoneticPr fontId="0" type="noConversion"/>
  </si>
  <si>
    <t>Shanghai</t>
    <phoneticPr fontId="0" type="noConversion"/>
  </si>
  <si>
    <t>St_Johns</t>
    <phoneticPr fontId="0" type="noConversion"/>
  </si>
  <si>
    <t>Tehran</t>
    <phoneticPr fontId="0" type="noConversion"/>
  </si>
  <si>
    <t>Tokyo</t>
    <phoneticPr fontId="0" type="noConversion"/>
  </si>
  <si>
    <r>
      <t xml:space="preserve">                  </t>
    </r>
    <r>
      <rPr>
        <i/>
        <sz val="11"/>
        <color indexed="8"/>
        <rFont val="Calibri"/>
        <family val="2"/>
      </rPr>
      <t xml:space="preserve"> (Start date = End Date)</t>
    </r>
  </si>
  <si>
    <t>Date</t>
    <phoneticPr fontId="0" type="noConversion"/>
  </si>
  <si>
    <t>Security</t>
    <phoneticPr fontId="0" type="noConversion"/>
  </si>
  <si>
    <t>Time Start</t>
    <phoneticPr fontId="0" type="noConversion"/>
  </si>
  <si>
    <t>Time End</t>
    <phoneticPr fontId="0" type="noConversion"/>
  </si>
  <si>
    <t>Dir</t>
    <phoneticPr fontId="0" type="noConversion"/>
  </si>
  <si>
    <t>V</t>
    <phoneticPr fontId="0" type="noConversion"/>
  </si>
  <si>
    <t>Dts</t>
    <phoneticPr fontId="0" type="noConversion"/>
  </si>
  <si>
    <t>S</t>
    <phoneticPr fontId="0" type="noConversion"/>
  </si>
  <si>
    <t>Sort</t>
    <phoneticPr fontId="0" type="noConversion"/>
  </si>
  <si>
    <t>A</t>
    <phoneticPr fontId="0" type="noConversion"/>
  </si>
  <si>
    <t>Quote</t>
    <phoneticPr fontId="0" type="noConversion"/>
  </si>
  <si>
    <t>C</t>
    <phoneticPr fontId="0" type="noConversion"/>
  </si>
  <si>
    <t>UseDPDF</t>
    <phoneticPr fontId="0" type="noConversion"/>
  </si>
  <si>
    <t>Y</t>
    <phoneticPr fontId="0" type="noConversion"/>
  </si>
  <si>
    <t>* For a complete up to date listing</t>
    <phoneticPr fontId="0" type="noConversion"/>
  </si>
  <si>
    <t xml:space="preserve">   of supported timezones, please</t>
    <phoneticPr fontId="0" type="noConversion"/>
  </si>
  <si>
    <t xml:space="preserve">   refer to: Options/Function</t>
    <phoneticPr fontId="0" type="noConversion"/>
  </si>
  <si>
    <t xml:space="preserve">   Defaults/Historical Intraday </t>
    <phoneticPr fontId="0" type="noConversion"/>
  </si>
  <si>
    <t xml:space="preserve">   Options/Custom Time Zone/City.</t>
    <phoneticPr fontId="0" type="noConversion"/>
  </si>
  <si>
    <t>Fetch intraday data and specify the timezone using the TZ parameter.</t>
    <phoneticPr fontId="0" type="noConversion"/>
  </si>
  <si>
    <t>PNDORA DC</t>
  </si>
  <si>
    <r>
      <t xml:space="preserve">The BPGE formula </t>
    </r>
    <r>
      <rPr>
        <sz val="11"/>
        <color indexed="30"/>
        <rFont val="Calibri"/>
        <family val="2"/>
      </rPr>
      <t>(returns data for pages contributed to Bloomberg in a non-digitized format)</t>
    </r>
  </si>
  <si>
    <r>
      <t xml:space="preserve">to </t>
    </r>
    <r>
      <rPr>
        <sz val="11"/>
        <color indexed="30"/>
        <rFont val="Calibri"/>
        <family val="2"/>
      </rPr>
      <t>597/22/1</t>
    </r>
    <r>
      <rPr>
        <sz val="11"/>
        <color theme="1"/>
        <rFont val="Calibri"/>
        <family val="3"/>
        <charset val="128"/>
        <scheme val="minor"/>
      </rPr>
      <t xml:space="preserve">  and then use these number with the formula to extract the</t>
    </r>
  </si>
  <si>
    <t>ct10 govt</t>
  </si>
  <si>
    <t>Historical zero coupon Bid or Ask rates</t>
  </si>
  <si>
    <t>EUR.3M</t>
  </si>
  <si>
    <t xml:space="preserve"> …or use curve no. from ICVS</t>
  </si>
  <si>
    <t>S45</t>
  </si>
  <si>
    <t>S201</t>
  </si>
  <si>
    <t>Resulting dates</t>
  </si>
  <si>
    <t xml:space="preserve">    i.e. S201</t>
  </si>
  <si>
    <t>(as in ICVS -&gt; "Stripped curve")</t>
  </si>
  <si>
    <t xml:space="preserve">    or "CurveDate=yyyymmdd" for historical values</t>
  </si>
  <si>
    <t>Market.Bid</t>
  </si>
  <si>
    <t>Par.Bid</t>
  </si>
  <si>
    <t>Zc.Bid</t>
  </si>
  <si>
    <t>DF.Bid</t>
  </si>
  <si>
    <t>InstType</t>
  </si>
  <si>
    <t>Bid</t>
  </si>
  <si>
    <t>Ask</t>
  </si>
  <si>
    <t>CASH</t>
  </si>
  <si>
    <t>O/N</t>
  </si>
  <si>
    <t>1 WK</t>
  </si>
  <si>
    <t>1 MO</t>
  </si>
  <si>
    <t>2 MO</t>
  </si>
  <si>
    <t>3 MO</t>
  </si>
  <si>
    <t>SWAP</t>
  </si>
  <si>
    <t>3 YR</t>
  </si>
  <si>
    <t>4 YR</t>
  </si>
  <si>
    <t>5 YR</t>
  </si>
  <si>
    <t>6 YR</t>
  </si>
  <si>
    <t>7 YR</t>
  </si>
  <si>
    <t>8 YR</t>
  </si>
  <si>
    <t>9 YR</t>
  </si>
  <si>
    <t>10 YR</t>
  </si>
  <si>
    <t>11 YR</t>
  </si>
  <si>
    <t>12 YR</t>
  </si>
  <si>
    <t>15 YR</t>
  </si>
  <si>
    <t>20 YR</t>
  </si>
  <si>
    <t>25 YR</t>
  </si>
  <si>
    <t>30 YR</t>
  </si>
  <si>
    <t>35 YR</t>
  </si>
  <si>
    <t>40 YR</t>
  </si>
  <si>
    <t>50 YR</t>
  </si>
  <si>
    <t>Define the curve/start date</t>
  </si>
  <si>
    <t>Term (start)</t>
  </si>
  <si>
    <t>Forward matrix based on the EUR vs 6m</t>
  </si>
  <si>
    <t>… then make the matrix</t>
  </si>
  <si>
    <t xml:space="preserve">Term </t>
  </si>
  <si>
    <t>1m</t>
  </si>
  <si>
    <t>28m</t>
  </si>
  <si>
    <t>4y</t>
  </si>
  <si>
    <t>Tenor</t>
  </si>
  <si>
    <t>6m</t>
  </si>
  <si>
    <t>30y</t>
  </si>
  <si>
    <t>Spreading bonds to the Par or Zero Swap Curve</t>
  </si>
  <si>
    <t xml:space="preserve">  S45 = EUR 6m (enter ICVS &lt;go&gt; for curve numbers)</t>
  </si>
  <si>
    <t>Days to settle</t>
  </si>
  <si>
    <t>Value date</t>
  </si>
  <si>
    <t>Zero Cpn Curve</t>
  </si>
  <si>
    <t>new spread</t>
  </si>
  <si>
    <t>To download extensive examples enter XLTP XCTK &lt;go&gt; on your Bloomberg</t>
  </si>
  <si>
    <t>TE= EUR calendar For all calendar codes enter CDR &lt;go&gt;</t>
  </si>
  <si>
    <t>Any changes to ICVS settings will be reflected in the dataset in Excel</t>
  </si>
  <si>
    <t xml:space="preserve">    =blptoday()</t>
  </si>
  <si>
    <t>=BAddPeriods(I10,J10,"numberofperiods="&amp;K10)</t>
  </si>
  <si>
    <t>CDR &lt;go&gt; for codes</t>
  </si>
  <si>
    <r>
      <t xml:space="preserve">The  =BCurveFwd (Bloomberg Forward rates) </t>
    </r>
    <r>
      <rPr>
        <sz val="11"/>
        <color indexed="30"/>
        <rFont val="Calibri"/>
        <family val="2"/>
      </rPr>
      <t>returns forward rates for a given period (now or historically) based on the swap curve under ICVS &lt;go&gt;</t>
    </r>
  </si>
  <si>
    <t>=BCurve(B30,"CurveDate=Today")</t>
  </si>
  <si>
    <t xml:space="preserve">     =BView(O31,O34:T34)</t>
  </si>
  <si>
    <t>All data originates and is based on the date under ICVS &lt;go&gt; except</t>
  </si>
  <si>
    <t>custom curves</t>
  </si>
  <si>
    <t>Term</t>
  </si>
  <si>
    <t>4 MO</t>
  </si>
  <si>
    <t>5 MO</t>
  </si>
  <si>
    <t>6 MO</t>
  </si>
  <si>
    <t>6 MO X 12 MO</t>
  </si>
  <si>
    <t>FRA</t>
  </si>
  <si>
    <t>12 MO X 18 MO</t>
  </si>
  <si>
    <t>18 MO X 24 MO</t>
  </si>
  <si>
    <t>Todays stripped curve with various data</t>
  </si>
  <si>
    <t>DATA</t>
  </si>
  <si>
    <t xml:space="preserve">     =BCurveStrip(X25,Y25,V26:X48)</t>
  </si>
  <si>
    <r>
      <t xml:space="preserve">Stripping curve with </t>
    </r>
    <r>
      <rPr>
        <sz val="11"/>
        <color indexed="62"/>
        <rFont val="Calibri"/>
        <family val="2"/>
      </rPr>
      <t>USER</t>
    </r>
    <r>
      <rPr>
        <sz val="11"/>
        <color indexed="8"/>
        <rFont val="Calibri"/>
        <family val="2"/>
      </rPr>
      <t xml:space="preserve"> data!   Profile name:</t>
    </r>
  </si>
  <si>
    <t>instrument</t>
  </si>
  <si>
    <t>terms,</t>
  </si>
  <si>
    <t>Zc.Ask</t>
  </si>
  <si>
    <t>Df.Ask</t>
  </si>
  <si>
    <t>3m</t>
  </si>
  <si>
    <t>23 bd</t>
  </si>
  <si>
    <t>Interpolating point on curve via =BCurveInt</t>
  </si>
  <si>
    <t>=BCurveInt($J$50,M$50,$L51)</t>
  </si>
  <si>
    <t>1mo</t>
  </si>
  <si>
    <t>3mo</t>
  </si>
  <si>
    <t>12mo</t>
  </si>
  <si>
    <t>2 YR</t>
  </si>
  <si>
    <t>annual</t>
  </si>
  <si>
    <t>act_360_eomc</t>
  </si>
  <si>
    <t>Par.ask</t>
  </si>
  <si>
    <t>Standardizing DayCounts and Frequencies for Multiple Currencies</t>
  </si>
  <si>
    <t>=BCurveInt(N62,$N$60,$K$63:$K$68,"Frequency",$L$63:$L$68,"Daycount",$M$63:$M$68)</t>
  </si>
  <si>
    <t xml:space="preserve">  =BCurveStrip(N61)</t>
  </si>
  <si>
    <t xml:space="preserve">  =BCurveStrip(Q61)</t>
  </si>
  <si>
    <t xml:space="preserve">  =BCurveInt(CurveID,Output,IntPoint_Array,"Frequency",Frequency_Array,"DayCount",DayCount_Array)</t>
  </si>
  <si>
    <t>Scroll for further examples incl building your own defined curve in Excel! -----&gt;</t>
  </si>
  <si>
    <t xml:space="preserve">     Interpolation is based on the Par Curve</t>
  </si>
  <si>
    <t xml:space="preserve">     Interpolation is based on the Zero coupon curve</t>
  </si>
  <si>
    <t>Curve stripping</t>
  </si>
  <si>
    <t>Time</t>
  </si>
  <si>
    <t>Bonds</t>
  </si>
  <si>
    <t>Loans</t>
  </si>
  <si>
    <t>Customize</t>
  </si>
  <si>
    <t>Generating "good" dates from any calendar using the formula  =BAddPeriods (see yellow tab with the</t>
  </si>
  <si>
    <t>same name for further details)</t>
  </si>
  <si>
    <t>#N/A N/A</t>
  </si>
  <si>
    <r>
      <rPr>
        <sz val="11"/>
        <color indexed="10"/>
        <rFont val="Calibri"/>
        <family val="2"/>
      </rPr>
      <t xml:space="preserve">1. First strip the curve using  </t>
    </r>
    <r>
      <rPr>
        <sz val="11"/>
        <color indexed="62"/>
        <rFont val="Calibri"/>
        <family val="2"/>
      </rPr>
      <t xml:space="preserve"> </t>
    </r>
    <r>
      <rPr>
        <sz val="11"/>
        <rFont val="Calibri"/>
        <family val="2"/>
      </rPr>
      <t>=BCurveStrip</t>
    </r>
  </si>
  <si>
    <r>
      <t>2. Extract the Par curve, Zero coupon curve etc. using</t>
    </r>
    <r>
      <rPr>
        <sz val="11"/>
        <color indexed="62"/>
        <rFont val="Calibri"/>
        <family val="2"/>
      </rPr>
      <t xml:space="preserve"> </t>
    </r>
    <r>
      <rPr>
        <sz val="11"/>
        <rFont val="Calibri"/>
        <family val="2"/>
      </rPr>
      <t>=Bview</t>
    </r>
  </si>
  <si>
    <r>
      <t xml:space="preserve">2. Extract the Forward Rates via </t>
    </r>
    <r>
      <rPr>
        <sz val="11"/>
        <color indexed="62"/>
        <rFont val="Calibri"/>
        <family val="2"/>
      </rPr>
      <t xml:space="preserve"> </t>
    </r>
    <r>
      <rPr>
        <sz val="11"/>
        <rFont val="Calibri"/>
        <family val="2"/>
      </rPr>
      <t>=BCurveFwd</t>
    </r>
  </si>
  <si>
    <r>
      <rPr>
        <sz val="11"/>
        <color indexed="10"/>
        <rFont val="Calibri"/>
        <family val="2"/>
      </rPr>
      <t xml:space="preserve">1. First strip the curve using         </t>
    </r>
    <r>
      <rPr>
        <sz val="11"/>
        <color indexed="62"/>
        <rFont val="Calibri"/>
        <family val="2"/>
      </rPr>
      <t xml:space="preserve"> </t>
    </r>
    <r>
      <rPr>
        <sz val="11"/>
        <rFont val="Calibri"/>
        <family val="2"/>
      </rPr>
      <t>=BCurveStrip</t>
    </r>
  </si>
  <si>
    <r>
      <t xml:space="preserve">2. Extract the Interpolaed Rate via </t>
    </r>
    <r>
      <rPr>
        <sz val="11"/>
        <color indexed="62"/>
        <rFont val="Calibri"/>
        <family val="2"/>
      </rPr>
      <t xml:space="preserve"> </t>
    </r>
    <r>
      <rPr>
        <sz val="11"/>
        <rFont val="Calibri"/>
        <family val="2"/>
      </rPr>
      <t>=BCurveInt</t>
    </r>
  </si>
  <si>
    <t>=BDP($B17,C$16, "UpdateFrequency=120000" )</t>
  </si>
  <si>
    <t xml:space="preserve">                 =BAddPeriods(C70,E73,E74,E75,E76,E77,E78,E79)</t>
  </si>
  <si>
    <t>=BCurveFwd(B12,"zc.bid","term",C12,"tenor",D12)</t>
  </si>
  <si>
    <t>=BCurveStrip(B21,"curvedate="&amp;B20)</t>
  </si>
  <si>
    <t>=BCurveFwd(B22,"zc.bid","term",C22,"tenor",D22)</t>
  </si>
  <si>
    <t>Combine classe sand deal name to creat the Bloomberg ticker using Excel formulae</t>
  </si>
  <si>
    <t xml:space="preserve">   =BCurveStrip(B8)</t>
  </si>
  <si>
    <t>Par Curve Mid</t>
  </si>
  <si>
    <t xml:space="preserve">   BCurveStrip(B11,"curvedate=today")</t>
  </si>
  <si>
    <t xml:space="preserve">    =BView(B10,"maturity,zc.mid)</t>
  </si>
  <si>
    <t>Aligning KOSPI and Nikkei indices series Monday to Friday.</t>
  </si>
  <si>
    <t>5D</t>
  </si>
  <si>
    <t>fill</t>
  </si>
  <si>
    <t xml:space="preserve">  =BDH(C226,C227,C219,C220,B221:B222,</t>
  </si>
  <si>
    <t xml:space="preserve">  =BDH(D226,D227,C219,C220,B221:B222,</t>
  </si>
  <si>
    <t xml:space="preserve">               C221:C222)</t>
  </si>
  <si>
    <t xml:space="preserve">               C221:C222,"DATES=H")</t>
  </si>
  <si>
    <t>=BDH(C260,C272,C261,C262,$D$5,B263:B269,C263:C269)</t>
  </si>
  <si>
    <t>require adjustment of Excel settings</t>
  </si>
  <si>
    <t>S21</t>
  </si>
  <si>
    <t xml:space="preserve">                =BCurveStrip("EUR.3M")</t>
  </si>
  <si>
    <t>(D11+E11 etc.)</t>
  </si>
  <si>
    <t xml:space="preserve">                                 =BDS(B11,C12)</t>
  </si>
  <si>
    <t xml:space="preserve">    =BDS(B45,C44) </t>
  </si>
  <si>
    <t>T</t>
  </si>
  <si>
    <t>TZ</t>
  </si>
  <si>
    <t>7y</t>
  </si>
  <si>
    <t>96m</t>
  </si>
  <si>
    <t>8m</t>
  </si>
  <si>
    <t>OK</t>
  </si>
  <si>
    <t>Not OK</t>
  </si>
  <si>
    <t>your own</t>
  </si>
  <si>
    <t>types and</t>
  </si>
  <si>
    <t>rates as</t>
  </si>
  <si>
    <t>shown here</t>
  </si>
  <si>
    <t>in blue!</t>
  </si>
  <si>
    <t xml:space="preserve"> = 28/10/2018</t>
  </si>
  <si>
    <t>Format</t>
  </si>
  <si>
    <t>Term/Tenor combination</t>
  </si>
  <si>
    <t>JYSK DC</t>
  </si>
  <si>
    <t>n/a</t>
  </si>
  <si>
    <t>ULT-AGG</t>
  </si>
  <si>
    <t>SERIAL_FUTURE</t>
  </si>
  <si>
    <t>2SF</t>
  </si>
  <si>
    <t>3SF</t>
  </si>
  <si>
    <t>4SF</t>
  </si>
  <si>
    <t>5SF</t>
  </si>
  <si>
    <t>7SF</t>
  </si>
  <si>
    <t>8SF</t>
  </si>
  <si>
    <t>9SF</t>
  </si>
  <si>
    <t>10SF</t>
  </si>
  <si>
    <t>11SF</t>
  </si>
  <si>
    <t>12SF</t>
  </si>
  <si>
    <t>=btoday()</t>
  </si>
  <si>
    <t>ask</t>
  </si>
  <si>
    <t xml:space="preserve">     =BView(V51,V54:Y54)</t>
  </si>
  <si>
    <t>6SF</t>
  </si>
  <si>
    <t xml:space="preserve">  in your Bloomberg and download the Excel sheets to get ideas what is possible</t>
  </si>
  <si>
    <t xml:space="preserve">  For FX option override examples please enter XLTP FX OPTIONS &lt;go&gt;</t>
  </si>
  <si>
    <t>DABC</t>
  </si>
  <si>
    <t>Enter your own stored Equity option id codes to retrieve data, otherwise you will get '#N/A Invalid Security' and no data</t>
  </si>
  <si>
    <t>If you don't get prices or get an error message then the price provider has not enabled you for their prices or they have stopped pricing the security</t>
  </si>
  <si>
    <t>=BRB(H12,H13:K13,H14,I14)</t>
  </si>
  <si>
    <t>Term (end)</t>
  </si>
  <si>
    <t xml:space="preserve">  Define the curve &amp; start date</t>
  </si>
  <si>
    <t>Past dates can be used (yyyymmdd)</t>
  </si>
  <si>
    <t>GEN DC</t>
  </si>
  <si>
    <t>EUDRI Index</t>
  </si>
  <si>
    <t>EUSA1 Index</t>
  </si>
  <si>
    <t>Days to maturity</t>
  </si>
  <si>
    <t xml:space="preserve">                       =BDP($B29,C$28)</t>
  </si>
  <si>
    <t>can be cubic or linear</t>
  </si>
  <si>
    <t>Force the data to be sorted before interpolating</t>
  </si>
  <si>
    <t xml:space="preserve">Force the interpolation when same X-values are found. </t>
  </si>
  <si>
    <t>Transform data to Log or Log10 space before interpolating</t>
  </si>
  <si>
    <t>Ignore invalid values</t>
  </si>
  <si>
    <t>Extrapolate for out of bounds interpolation points. Extrapolation</t>
  </si>
  <si>
    <t>EK080950 Corp</t>
  </si>
  <si>
    <t>GB00BH4HKS39 LN Equity</t>
  </si>
  <si>
    <t>BH4HKS3 LN Equity SEDOL1</t>
  </si>
  <si>
    <t>935386 Equity FRENCH</t>
  </si>
  <si>
    <t>dgb 4.5 39 Govt</t>
  </si>
  <si>
    <t>EJ3991548</t>
  </si>
  <si>
    <t>FR0010915660</t>
  </si>
  <si>
    <t>dbr 1.75 22</t>
  </si>
  <si>
    <t>Insurance Company</t>
  </si>
  <si>
    <t>Toronto</t>
  </si>
  <si>
    <t>HARTFORD FINANCIAL S</t>
  </si>
  <si>
    <t>Hartford</t>
  </si>
  <si>
    <t>AAPL US Equity</t>
  </si>
  <si>
    <t>FM GLOBAL GROUP</t>
  </si>
  <si>
    <t>CINCINNATI FINANCIAL</t>
  </si>
  <si>
    <t>U8328-3 client</t>
  </si>
  <si>
    <t xml:space="preserve">    </t>
  </si>
  <si>
    <r>
      <t xml:space="preserve">…and finally click into the </t>
    </r>
    <r>
      <rPr>
        <b/>
        <sz val="11"/>
        <color indexed="10"/>
        <rFont val="Calibri"/>
        <family val="2"/>
      </rPr>
      <t>Field Type</t>
    </r>
    <r>
      <rPr>
        <sz val="11"/>
        <color indexed="10"/>
        <rFont val="Calibri"/>
        <family val="2"/>
      </rPr>
      <t xml:space="preserve"> </t>
    </r>
    <r>
      <rPr>
        <sz val="11"/>
        <rFont val="Calibri"/>
        <family val="2"/>
      </rPr>
      <t>and select the field type you want (live, static, historical, etc.)</t>
    </r>
  </si>
  <si>
    <r>
      <t xml:space="preserve">For first time user please enter </t>
    </r>
    <r>
      <rPr>
        <b/>
        <sz val="11"/>
        <rFont val="Calibri"/>
        <family val="2"/>
      </rPr>
      <t>FLDS &lt;go&gt;</t>
    </r>
    <r>
      <rPr>
        <sz val="11"/>
        <rFont val="Calibri"/>
        <family val="2"/>
      </rPr>
      <t xml:space="preserve"> and set the </t>
    </r>
    <r>
      <rPr>
        <b/>
        <sz val="11"/>
        <color indexed="17"/>
        <rFont val="Calibri"/>
        <family val="2"/>
      </rPr>
      <t xml:space="preserve">Source </t>
    </r>
    <r>
      <rPr>
        <sz val="11"/>
        <rFont val="Calibri"/>
        <family val="2"/>
      </rPr>
      <t>to API and …</t>
    </r>
  </si>
  <si>
    <t>=C11&amp;" corp"</t>
  </si>
  <si>
    <t>=C10&amp;E10&amp;F10&amp;" corp"</t>
  </si>
  <si>
    <t xml:space="preserve"> corp</t>
  </si>
  <si>
    <r>
      <t xml:space="preserve">   </t>
    </r>
    <r>
      <rPr>
        <sz val="11"/>
        <color indexed="10"/>
        <rFont val="Calibri"/>
        <family val="2"/>
      </rPr>
      <t xml:space="preserve">* </t>
    </r>
    <r>
      <rPr>
        <sz val="11"/>
        <color theme="1"/>
        <rFont val="Calibri"/>
        <family val="3"/>
        <charset val="128"/>
        <scheme val="minor"/>
      </rPr>
      <t xml:space="preserve">Only corporate tickers need an '@' sign to use a dedicated pricing source.  </t>
    </r>
    <r>
      <rPr>
        <sz val="11"/>
        <color indexed="10"/>
        <rFont val="Calibri"/>
        <family val="2"/>
      </rPr>
      <t/>
    </r>
  </si>
  <si>
    <t>Adding numbers and text using "&amp;" sign and selecting pricing sources directly in Excel</t>
  </si>
  <si>
    <t>=C8&amp;E8</t>
  </si>
  <si>
    <t>=C9&amp;" "&amp;E9</t>
  </si>
  <si>
    <t>HUGPTOTL Index</t>
  </si>
  <si>
    <t>Last update</t>
  </si>
  <si>
    <t>HUCPIYY Index</t>
  </si>
  <si>
    <r>
      <t xml:space="preserve">To locate the ticker symbols enter </t>
    </r>
    <r>
      <rPr>
        <b/>
        <sz val="11"/>
        <color indexed="8"/>
        <rFont val="Calibri"/>
        <family val="2"/>
      </rPr>
      <t>ECST</t>
    </r>
    <r>
      <rPr>
        <sz val="11"/>
        <color theme="1"/>
        <rFont val="Calibri"/>
        <family val="3"/>
        <charset val="128"/>
        <scheme val="minor"/>
      </rPr>
      <t xml:space="preserve"> or</t>
    </r>
    <r>
      <rPr>
        <b/>
        <sz val="11"/>
        <color indexed="8"/>
        <rFont val="Calibri"/>
        <family val="2"/>
      </rPr>
      <t xml:space="preserve"> ECST S</t>
    </r>
    <r>
      <rPr>
        <sz val="11"/>
        <color theme="1"/>
        <rFont val="Calibri"/>
        <family val="3"/>
        <charset val="128"/>
        <scheme val="minor"/>
      </rPr>
      <t xml:space="preserve"> &lt;go&gt; in your Bloomberg, select the country and click on the object to view tickers (see picture). </t>
    </r>
  </si>
  <si>
    <t xml:space="preserve">                 ECST &lt;go&gt;</t>
  </si>
  <si>
    <t>v</t>
  </si>
  <si>
    <t>LONDON</t>
  </si>
  <si>
    <t xml:space="preserve">               =weekday()                 1=sun  2=mon  3=tue  4=wed 5=thu  6=fri  7= sat</t>
  </si>
  <si>
    <r>
      <t>You can now remove the excess spaces using the syntax =trim(</t>
    </r>
    <r>
      <rPr>
        <b/>
        <sz val="11"/>
        <color indexed="36"/>
        <rFont val="Calibri"/>
        <family val="2"/>
      </rPr>
      <t>x</t>
    </r>
    <r>
      <rPr>
        <sz val="11"/>
        <color theme="1"/>
        <rFont val="Calibri"/>
        <family val="3"/>
        <charset val="128"/>
        <scheme val="minor"/>
      </rPr>
      <t xml:space="preserve">), </t>
    </r>
  </si>
  <si>
    <r>
      <t>where</t>
    </r>
    <r>
      <rPr>
        <sz val="11"/>
        <color indexed="36"/>
        <rFont val="Calibri"/>
        <family val="2"/>
      </rPr>
      <t xml:space="preserve"> </t>
    </r>
    <r>
      <rPr>
        <b/>
        <sz val="11"/>
        <color indexed="36"/>
        <rFont val="Calibri"/>
        <family val="2"/>
      </rPr>
      <t>x</t>
    </r>
    <r>
      <rPr>
        <sz val="11"/>
        <color theme="1"/>
        <rFont val="Calibri"/>
        <family val="3"/>
        <charset val="128"/>
        <scheme val="minor"/>
      </rPr>
      <t xml:space="preserve"> is the cell containing the data.</t>
    </r>
  </si>
  <si>
    <r>
      <t>=value(</t>
    </r>
    <r>
      <rPr>
        <b/>
        <sz val="11"/>
        <color indexed="53"/>
        <rFont val="Calibri"/>
        <family val="2"/>
      </rPr>
      <t>y</t>
    </r>
    <r>
      <rPr>
        <sz val="11"/>
        <color theme="1"/>
        <rFont val="Calibri"/>
        <family val="3"/>
        <charset val="128"/>
        <scheme val="minor"/>
      </rPr>
      <t>), where</t>
    </r>
    <r>
      <rPr>
        <sz val="11"/>
        <color indexed="8"/>
        <rFont val="Calibri"/>
        <family val="2"/>
      </rPr>
      <t xml:space="preserve"> </t>
    </r>
    <r>
      <rPr>
        <b/>
        <sz val="11"/>
        <color indexed="53"/>
        <rFont val="Calibri"/>
        <family val="2"/>
      </rPr>
      <t>y</t>
    </r>
    <r>
      <rPr>
        <sz val="11"/>
        <color theme="1"/>
        <rFont val="Calibri"/>
        <family val="3"/>
        <charset val="128"/>
        <scheme val="minor"/>
      </rPr>
      <t xml:space="preserve"> is the cell containing the data.</t>
    </r>
  </si>
  <si>
    <t>Input</t>
  </si>
  <si>
    <t>PX Bid</t>
  </si>
  <si>
    <t>Yld cnv bid</t>
  </si>
  <si>
    <t>Equity and equity option ticker constructions using various ID code types</t>
  </si>
  <si>
    <t>ID CUSIP</t>
  </si>
  <si>
    <t>ID ISIN</t>
  </si>
  <si>
    <t>IBM US Equity</t>
  </si>
  <si>
    <t xml:space="preserve">    =C47</t>
  </si>
  <si>
    <t xml:space="preserve">    =C51</t>
  </si>
  <si>
    <t xml:space="preserve">    =$C50</t>
  </si>
  <si>
    <t xml:space="preserve">    =C$49</t>
  </si>
  <si>
    <t xml:space="preserve">    =$C$48</t>
  </si>
  <si>
    <r>
      <t xml:space="preserve">     </t>
    </r>
    <r>
      <rPr>
        <sz val="11"/>
        <color indexed="30"/>
        <rFont val="Calibri"/>
        <family val="2"/>
      </rPr>
      <t xml:space="preserve"> =TEXT(C35,"YYYYMMDD")</t>
    </r>
  </si>
  <si>
    <t>Underlying equity</t>
  </si>
  <si>
    <t>ID WERTPAPIER</t>
  </si>
  <si>
    <t>PX last</t>
  </si>
  <si>
    <t>ID SEDOL1</t>
  </si>
  <si>
    <t>or</t>
  </si>
  <si>
    <t>option ticker by moneyness</t>
  </si>
  <si>
    <t>Enter Equity</t>
  </si>
  <si>
    <t>any ID can be used</t>
  </si>
  <si>
    <t>=C13&amp;" "&amp;F13&amp;" curncy"</t>
  </si>
  <si>
    <t>option ticker by moneyless</t>
  </si>
  <si>
    <t>Call option with specific strike</t>
  </si>
  <si>
    <t>DGB 2.500 11/15/16</t>
  </si>
  <si>
    <t>GG709937 Corp</t>
  </si>
  <si>
    <t>DGB 4.000 06/15/17</t>
  </si>
  <si>
    <t>EF243042 Corp</t>
  </si>
  <si>
    <t>DGB 4.000 11/15/17</t>
  </si>
  <si>
    <t>EH695076 Corp</t>
  </si>
  <si>
    <t>DGB 4.000 11/15/19</t>
  </si>
  <si>
    <t>EI529274 Corp</t>
  </si>
  <si>
    <t>DGB 3.000 11/15/21</t>
  </si>
  <si>
    <t>EJ326060 Corp</t>
  </si>
  <si>
    <t>DGB 1.500 11/15/23</t>
  </si>
  <si>
    <t>GG719004 Corp</t>
  </si>
  <si>
    <t>DGB 7.000 11/10/24</t>
  </si>
  <si>
    <t>EK254178 Corp</t>
  </si>
  <si>
    <t>DGB 1.750 11/15/25</t>
  </si>
  <si>
    <t>EH613113 Corp</t>
  </si>
  <si>
    <t>DGB 4.500 11/15/39</t>
  </si>
  <si>
    <t>DGB corp</t>
  </si>
  <si>
    <t>bond chain</t>
  </si>
  <si>
    <t xml:space="preserve">    =BDS(F138,G138)</t>
  </si>
  <si>
    <t>ISS DC</t>
  </si>
  <si>
    <t>1140/49/1</t>
  </si>
  <si>
    <t xml:space="preserve">  =BPGE(D136)</t>
  </si>
  <si>
    <t>Sch-D</t>
  </si>
  <si>
    <r>
      <rPr>
        <sz val="16"/>
        <color indexed="30"/>
        <rFont val="Calibri"/>
        <family val="2"/>
      </rPr>
      <t xml:space="preserve">The BSRCH formula </t>
    </r>
    <r>
      <rPr>
        <sz val="11"/>
        <color indexed="30"/>
        <rFont val="Calibri"/>
        <family val="2"/>
      </rPr>
      <t>("Bloomberg Bond Search" - returns a list of bond ID codes into Excel in accordance to your pre-set bond search in SRCH &lt;go&gt; in Bloomberg)</t>
    </r>
  </si>
  <si>
    <t>Note 1: In order to make a custom bond search you first need to set up and save your search in SRCH &lt;go&gt;</t>
  </si>
  <si>
    <t>(If option expired enter a new one to view the data)</t>
  </si>
  <si>
    <t>DE0001135465</t>
  </si>
  <si>
    <t>dbr 2 22 govt</t>
  </si>
  <si>
    <r>
      <t xml:space="preserve"> </t>
    </r>
    <r>
      <rPr>
        <b/>
        <sz val="16"/>
        <color indexed="8"/>
        <rFont val="Calibri"/>
        <family val="2"/>
      </rPr>
      <t xml:space="preserve">  or  ECST S &lt;go&gt; </t>
    </r>
    <r>
      <rPr>
        <sz val="11"/>
        <color indexed="8"/>
        <rFont val="Calibri"/>
        <family val="2"/>
      </rPr>
      <t>… then enter country &lt;go&gt; and select data series</t>
    </r>
  </si>
  <si>
    <t>TRYG DC Equity</t>
  </si>
  <si>
    <t>Click into "Settings" on the red tool bar, click on "Page Information" to obtain the page code as seen in the red box.</t>
  </si>
  <si>
    <t xml:space="preserve">Then refer to line 136 on how to get the data into Excel. To obtain the data into spectific cells please refer </t>
  </si>
  <si>
    <r>
      <t xml:space="preserve">cells using the syntax =mid </t>
    </r>
    <r>
      <rPr>
        <sz val="16"/>
        <color indexed="8"/>
        <rFont val="Calibri"/>
        <family val="2"/>
      </rPr>
      <t>(</t>
    </r>
    <r>
      <rPr>
        <sz val="18"/>
        <color indexed="17"/>
        <rFont val="Calibri"/>
        <family val="2"/>
      </rPr>
      <t>x</t>
    </r>
    <r>
      <rPr>
        <sz val="18"/>
        <rFont val="Calibri"/>
        <family val="2"/>
      </rPr>
      <t>,</t>
    </r>
    <r>
      <rPr>
        <sz val="18"/>
        <color indexed="17"/>
        <rFont val="Calibri"/>
        <family val="2"/>
      </rPr>
      <t xml:space="preserve"> </t>
    </r>
    <r>
      <rPr>
        <sz val="18"/>
        <color indexed="10"/>
        <rFont val="Calibri"/>
        <family val="2"/>
      </rPr>
      <t>y</t>
    </r>
    <r>
      <rPr>
        <sz val="18"/>
        <rFont val="Calibri"/>
        <family val="2"/>
      </rPr>
      <t>,</t>
    </r>
    <r>
      <rPr>
        <sz val="18"/>
        <color indexed="10"/>
        <rFont val="Calibri"/>
        <family val="2"/>
      </rPr>
      <t xml:space="preserve"> </t>
    </r>
    <r>
      <rPr>
        <sz val="18"/>
        <color indexed="12"/>
        <rFont val="Calibri"/>
        <family val="2"/>
      </rPr>
      <t>z</t>
    </r>
    <r>
      <rPr>
        <sz val="11"/>
        <color theme="1"/>
        <rFont val="Calibri"/>
        <family val="3"/>
        <charset val="128"/>
        <scheme val="minor"/>
      </rPr>
      <t>) where</t>
    </r>
    <r>
      <rPr>
        <sz val="18"/>
        <color indexed="8"/>
        <rFont val="Calibri"/>
        <family val="2"/>
      </rPr>
      <t xml:space="preserve"> </t>
    </r>
    <r>
      <rPr>
        <sz val="18"/>
        <color indexed="17"/>
        <rFont val="Calibri"/>
        <family val="2"/>
      </rPr>
      <t>x</t>
    </r>
    <r>
      <rPr>
        <sz val="11"/>
        <color theme="1"/>
        <rFont val="Calibri"/>
        <family val="3"/>
        <charset val="128"/>
        <scheme val="minor"/>
      </rPr>
      <t xml:space="preserve"> is where</t>
    </r>
  </si>
  <si>
    <t>MANULIFE FINANCIAL C</t>
  </si>
  <si>
    <t>25Y</t>
  </si>
  <si>
    <t>EK710524 Corp</t>
  </si>
  <si>
    <t>DGB 0.250 11/15/20</t>
  </si>
  <si>
    <t xml:space="preserve">                    =BView(B10,"maturity,par.mid")</t>
  </si>
  <si>
    <t>Also try the MARS &lt;go&gt; function</t>
  </si>
  <si>
    <t>opt undl ticker</t>
  </si>
  <si>
    <t>Example of one of the help pages for the BDH formulae</t>
  </si>
  <si>
    <t>…and much more</t>
  </si>
  <si>
    <t>Security DES</t>
  </si>
  <si>
    <t xml:space="preserve">        =BDP($B12,D$11)   … and then drag across and down to obtain required data points</t>
  </si>
  <si>
    <t>Springfield</t>
  </si>
  <si>
    <t>Boston</t>
  </si>
  <si>
    <t>METLIFE INC</t>
  </si>
  <si>
    <t>If you know the code you can work backwards to the contributor</t>
  </si>
  <si>
    <r>
      <t xml:space="preserve">eg. </t>
    </r>
    <r>
      <rPr>
        <b/>
        <sz val="11"/>
        <color indexed="8"/>
        <rFont val="Calibri"/>
        <family val="2"/>
      </rPr>
      <t>2-00597 022 0001 = 597 22</t>
    </r>
    <r>
      <rPr>
        <sz val="11"/>
        <color theme="1"/>
        <rFont val="Calibri"/>
        <family val="3"/>
        <charset val="128"/>
        <scheme val="minor"/>
      </rPr>
      <t xml:space="preserve"> which is the contributor code; then</t>
    </r>
  </si>
  <si>
    <r>
      <t xml:space="preserve">enter </t>
    </r>
    <r>
      <rPr>
        <b/>
        <sz val="11"/>
        <color indexed="8"/>
        <rFont val="Calibri"/>
        <family val="2"/>
      </rPr>
      <t>GPGX 597 22 &lt;go&gt;</t>
    </r>
  </si>
  <si>
    <r>
      <t xml:space="preserve">eg. </t>
    </r>
    <r>
      <rPr>
        <b/>
        <sz val="11"/>
        <color indexed="8"/>
        <rFont val="Calibri"/>
        <family val="2"/>
      </rPr>
      <t xml:space="preserve">1140 49 </t>
    </r>
    <r>
      <rPr>
        <sz val="11"/>
        <color theme="1"/>
        <rFont val="Calibri"/>
        <family val="3"/>
        <charset val="128"/>
        <scheme val="minor"/>
      </rPr>
      <t xml:space="preserve">which is the contributor code; then enter </t>
    </r>
    <r>
      <rPr>
        <b/>
        <sz val="11"/>
        <color indexed="8"/>
        <rFont val="Calibri"/>
        <family val="2"/>
      </rPr>
      <t>GPGX 1140 49 &lt;go&gt;</t>
    </r>
  </si>
  <si>
    <t>QJ169173 Corp</t>
  </si>
  <si>
    <t>DGB 0.250 11/15/18</t>
  </si>
  <si>
    <t>Curve Ticker</t>
  </si>
  <si>
    <t>YCGT0249 Index</t>
  </si>
  <si>
    <t>Forward terms/dates for each reporate/term below</t>
  </si>
  <si>
    <t>Country</t>
  </si>
  <si>
    <t>TR</t>
  </si>
  <si>
    <t>Repo RepoRate</t>
  </si>
  <si>
    <t>Repo Settle Price</t>
  </si>
  <si>
    <t>Forward Term</t>
  </si>
  <si>
    <t>Repo Forward Term Date</t>
  </si>
  <si>
    <t>Tenor Ticker</t>
  </si>
  <si>
    <t>Description</t>
  </si>
  <si>
    <t>EH678845 Corp</t>
  </si>
  <si>
    <t>EG876423 Corp</t>
  </si>
  <si>
    <t>EH539794 Corp</t>
  </si>
  <si>
    <t>ED966375 Corp</t>
  </si>
  <si>
    <t>EI185582 Corp</t>
  </si>
  <si>
    <t>EI846170 Corp</t>
  </si>
  <si>
    <t>EJ506925 Corp</t>
  </si>
  <si>
    <t>EK041193 Corp</t>
  </si>
  <si>
    <t>ED777753 Corp</t>
  </si>
  <si>
    <t>EK848762 Corp</t>
  </si>
  <si>
    <t>EC214944 Corp</t>
  </si>
  <si>
    <t>ED283287 Corp</t>
  </si>
  <si>
    <t>EH238684 Corp</t>
  </si>
  <si>
    <t>EK072992 Corp</t>
  </si>
  <si>
    <t xml:space="preserve"> =BCurveStrip(C31)</t>
  </si>
  <si>
    <t>Curve no</t>
  </si>
  <si>
    <t>Forward Yield rates based on bonds in GC (Yield curves)</t>
  </si>
  <si>
    <t>Q3 17</t>
  </si>
  <si>
    <t>MASSACHUSETTS MUTUAL</t>
  </si>
  <si>
    <t>Vod ln equity</t>
  </si>
  <si>
    <t>NEW YORK LIFE GROUP</t>
  </si>
  <si>
    <t>Source: Set to API</t>
  </si>
  <si>
    <r>
      <t xml:space="preserve">…then enter </t>
    </r>
    <r>
      <rPr>
        <b/>
        <sz val="11"/>
        <color indexed="30"/>
        <rFont val="Calibri"/>
        <family val="2"/>
      </rPr>
      <t>99 &lt;go&gt;</t>
    </r>
    <r>
      <rPr>
        <b/>
        <sz val="11"/>
        <rFont val="Calibri"/>
        <family val="2"/>
      </rPr>
      <t xml:space="preserve"> </t>
    </r>
    <r>
      <rPr>
        <sz val="11"/>
        <rFont val="Calibri"/>
        <family val="2"/>
      </rPr>
      <t>and set the check marks as seen in the small picture to get the best output…</t>
    </r>
  </si>
  <si>
    <t>FLDS &lt;go&gt; 99&lt;go&gt; for Options</t>
  </si>
  <si>
    <t>Filter for data type</t>
  </si>
  <si>
    <t>calculation in Excel using Bloomberg's</t>
  </si>
  <si>
    <t>If data field/value is shown in white = Live data in Excel!</t>
  </si>
  <si>
    <t xml:space="preserve"> = Overridable fields;  perform</t>
  </si>
  <si>
    <t>DBR 2 22 Govt</t>
  </si>
  <si>
    <t>How to find Bloomberg's Ticker Symbols for Securities in Excel</t>
  </si>
  <si>
    <r>
      <t xml:space="preserve">Same as on Bloomberg and remember to always end with the "yellow" key e.g. SIE GR </t>
    </r>
    <r>
      <rPr>
        <b/>
        <sz val="11"/>
        <rFont val="Calibri"/>
        <family val="2"/>
      </rPr>
      <t>Equity</t>
    </r>
    <r>
      <rPr>
        <sz val="11"/>
        <rFont val="Calibri"/>
        <family val="2"/>
      </rPr>
      <t xml:space="preserve">, VOD 5 18 </t>
    </r>
    <r>
      <rPr>
        <b/>
        <sz val="11"/>
        <rFont val="Calibri"/>
        <family val="2"/>
      </rPr>
      <t>Corp</t>
    </r>
    <r>
      <rPr>
        <sz val="11"/>
        <rFont val="Calibri"/>
        <family val="2"/>
      </rPr>
      <t xml:space="preserve"> etc. To locate ticker symbols please enter </t>
    </r>
    <r>
      <rPr>
        <b/>
        <sz val="11"/>
        <rFont val="Calibri"/>
        <family val="2"/>
      </rPr>
      <t>SECF &lt;go&gt;</t>
    </r>
    <r>
      <rPr>
        <sz val="11"/>
        <rFont val="Calibri"/>
        <family val="2"/>
      </rPr>
      <t xml:space="preserve"> in </t>
    </r>
  </si>
  <si>
    <t>Bloomberg and drag drop into Excel. Exchange codes such as ISIN, SEDOL, VALOREN, CEDEL, EUROCLEAR etc. can also be used directlky in Excel e.g. DE0001134468 Corp</t>
  </si>
  <si>
    <t>=C12&amp;"@"&amp;E12&amp;" corp"</t>
  </si>
  <si>
    <t>IBM US 06/17/16 C150 Equity</t>
  </si>
  <si>
    <t>VOD 4.375 2043</t>
  </si>
  <si>
    <t>EUSA7</t>
  </si>
  <si>
    <r>
      <t xml:space="preserve">The formula            </t>
    </r>
    <r>
      <rPr>
        <sz val="11"/>
        <color indexed="30"/>
        <rFont val="Calibri"/>
        <family val="2"/>
      </rPr>
      <t>=btoday()+43</t>
    </r>
  </si>
  <si>
    <r>
      <t xml:space="preserve">The formula            </t>
    </r>
    <r>
      <rPr>
        <sz val="11"/>
        <color indexed="30"/>
        <rFont val="Calibri"/>
        <family val="2"/>
      </rPr>
      <t>=btoday()</t>
    </r>
  </si>
  <si>
    <t>Step 2: Right click on the area and you will see this popup window</t>
  </si>
  <si>
    <t xml:space="preserve">Step 3: Click on "Bloomberg Copy" </t>
  </si>
  <si>
    <t>Step 4: Open your Powerpoint and right click on the slide</t>
  </si>
  <si>
    <t>…click on Bloomberg paste</t>
  </si>
  <si>
    <t>… and the table will appear!</t>
  </si>
  <si>
    <t>Step 5: Do the same for the Graph!</t>
  </si>
  <si>
    <t>Getting started</t>
  </si>
  <si>
    <t>Updating the files</t>
  </si>
  <si>
    <t>"Frame"</t>
  </si>
  <si>
    <t>Step 3: Go to your linked Powerpoint file, click on the data set so that you can see the "frame" (see above PowerPoint picture)</t>
  </si>
  <si>
    <t>Step 2: Enter the new security and dates in Excel, then press the &lt;Enter&gt; key and the data/graph will be updated</t>
  </si>
  <si>
    <t>Step 4: Now click on the icon "Update" and the new data will appear</t>
  </si>
  <si>
    <t xml:space="preserve">Step 1: Highlight the areain Excel you wish to copy into your PowerPoint </t>
  </si>
  <si>
    <t>… then click om Bloomberg menu</t>
  </si>
  <si>
    <t>Step 1: Open the Excel &amp; PowerPoint files that are linked and lets say you want to change the security and/or  the dates in Excel</t>
  </si>
  <si>
    <t>Step 5: Then  click on the graph -&gt; click on the "Update" icon and the graph will update!</t>
  </si>
  <si>
    <t>SECF &lt;go&gt;</t>
  </si>
  <si>
    <t>Then enter name of data field required to get the Mnemonic to be used in Excel</t>
  </si>
  <si>
    <t>EK0723446</t>
  </si>
  <si>
    <r>
      <t>=BDP(</t>
    </r>
    <r>
      <rPr>
        <sz val="11"/>
        <color indexed="30"/>
        <rFont val="Calibri"/>
        <family val="2"/>
      </rPr>
      <t>$B51,</t>
    </r>
    <r>
      <rPr>
        <sz val="11"/>
        <color indexed="17"/>
        <rFont val="Calibri"/>
        <family val="2"/>
      </rPr>
      <t>C$50</t>
    </r>
    <r>
      <rPr>
        <sz val="11"/>
        <rFont val="Calibri"/>
        <family val="2"/>
      </rPr>
      <t>)</t>
    </r>
  </si>
  <si>
    <r>
      <t xml:space="preserve">2) Click on the first "output" field </t>
    </r>
    <r>
      <rPr>
        <sz val="11"/>
        <color indexed="17"/>
        <rFont val="Calibri"/>
        <family val="2"/>
      </rPr>
      <t xml:space="preserve"> </t>
    </r>
    <r>
      <rPr>
        <sz val="11"/>
        <color indexed="17"/>
        <rFont val="Calibri"/>
        <family val="2"/>
      </rPr>
      <t>px bid</t>
    </r>
    <r>
      <rPr>
        <sz val="11"/>
        <color indexed="53"/>
        <rFont val="Calibri"/>
        <family val="2"/>
      </rPr>
      <t xml:space="preserve">  </t>
    </r>
    <r>
      <rPr>
        <sz val="11"/>
        <rFont val="Calibri"/>
        <family val="2"/>
      </rPr>
      <t>and press Enter</t>
    </r>
  </si>
  <si>
    <t>XS1033940740 corp</t>
  </si>
  <si>
    <t>XS1033940740</t>
  </si>
  <si>
    <t>OPT6MSBS curncy</t>
  </si>
  <si>
    <t>Date format transformed to comply with some Bloomberg functions using  =TEXT</t>
  </si>
  <si>
    <t>Formatting dates in Excel (YYYYMMDD) which may be needed for certain operations</t>
  </si>
  <si>
    <t>OKB 3 22 Corp</t>
  </si>
  <si>
    <t xml:space="preserve">                        </t>
  </si>
  <si>
    <t>Enter your own stored FX option id codes to retrieve data, otherwise you will get '#N/A Invalid Security' and no data</t>
  </si>
  <si>
    <t>seb 2 21 corp</t>
  </si>
  <si>
    <t>seb  2 21 corp</t>
  </si>
  <si>
    <t>dgb 4.5 39 govt</t>
  </si>
  <si>
    <t>dax</t>
  </si>
  <si>
    <t>ukx</t>
  </si>
  <si>
    <t xml:space="preserve">   =BDP($H$28,"OPTION_TICKER_BY_MONEYNESS")</t>
  </si>
  <si>
    <r>
      <t xml:space="preserve">     </t>
    </r>
    <r>
      <rPr>
        <sz val="11"/>
        <color indexed="30"/>
        <rFont val="Calibri"/>
        <family val="2"/>
      </rPr>
      <t xml:space="preserve"> =TEXT(C36,"YYYYMMDD")</t>
    </r>
  </si>
  <si>
    <r>
      <t xml:space="preserve">    </t>
    </r>
    <r>
      <rPr>
        <sz val="11"/>
        <color indexed="30"/>
        <rFont val="Calibri"/>
        <family val="2"/>
      </rPr>
      <t>=$H49+I$48     … and then drag/drop</t>
    </r>
  </si>
  <si>
    <t xml:space="preserve">           =BDP($H58,I$57)    … and then drag /drop</t>
  </si>
  <si>
    <r>
      <t xml:space="preserve">   =BDP($G68,I$67,$K$67,$K68))    … and then </t>
    </r>
    <r>
      <rPr>
        <sz val="11"/>
        <rFont val="Calibri"/>
        <family val="2"/>
      </rPr>
      <t>drag/drop</t>
    </r>
  </si>
  <si>
    <r>
      <t xml:space="preserve">Bond examples </t>
    </r>
    <r>
      <rPr>
        <sz val="12"/>
        <color indexed="10"/>
        <rFont val="Calibri"/>
        <family val="2"/>
      </rPr>
      <t>(for US type Mortgage bond examples please click on the light yellow tab "Mortgage Bonds")</t>
    </r>
  </si>
  <si>
    <r>
      <t>As above except each bond has an individual pricing source.</t>
    </r>
    <r>
      <rPr>
        <sz val="11"/>
        <color indexed="8"/>
        <rFont val="Calibri"/>
        <family val="2"/>
      </rPr>
      <t xml:space="preserve"> I</t>
    </r>
    <r>
      <rPr>
        <sz val="11"/>
        <color indexed="10"/>
        <rFont val="Calibri"/>
        <family val="2"/>
      </rPr>
      <t>f you don't get prices or get an error message then the price provider has not enabled you for their prices or they have stopped pricing the security</t>
    </r>
  </si>
  <si>
    <t>UpdateFrequency only works with Real Time fields</t>
  </si>
  <si>
    <t xml:space="preserve">  =BDP($B66,C$65,$B$61:$B$62,$C$61:$C$62)</t>
  </si>
  <si>
    <t xml:space="preserve">    =BDP($B48,C$47,$B$42:$B$44,$C$42:$C$44)</t>
  </si>
  <si>
    <t xml:space="preserve"> =TEXT(D42,"YYYYMMDD")</t>
  </si>
  <si>
    <t>Replacing "error" messages with "blanks" or any other values; example</t>
  </si>
  <si>
    <t xml:space="preserve"> For further details including optional arguments available click on Help  icon in the Bloomberg Toolbar and enter your keyword(s)</t>
  </si>
  <si>
    <r>
      <t xml:space="preserve">Complete data series despite holidays - </t>
    </r>
    <r>
      <rPr>
        <b/>
        <sz val="12"/>
        <rFont val="Calibri"/>
        <family val="2"/>
      </rPr>
      <t>ascending</t>
    </r>
    <r>
      <rPr>
        <sz val="12"/>
        <rFont val="Calibri"/>
        <family val="2"/>
      </rPr>
      <t xml:space="preserve"> </t>
    </r>
    <r>
      <rPr>
        <sz val="11"/>
        <rFont val="Calibri"/>
        <family val="2"/>
      </rPr>
      <t>(default)</t>
    </r>
  </si>
  <si>
    <r>
      <t xml:space="preserve">Complete data series despite holidays - </t>
    </r>
    <r>
      <rPr>
        <b/>
        <sz val="12"/>
        <rFont val="Calibri"/>
        <family val="2"/>
      </rPr>
      <t>descending</t>
    </r>
  </si>
  <si>
    <t>sap gr equity</t>
  </si>
  <si>
    <t xml:space="preserve">         =BSRCH("FI:Hungarian Govt Bonds")</t>
  </si>
  <si>
    <t>VOD/ corp</t>
  </si>
  <si>
    <t>YCGT0016 Index</t>
  </si>
  <si>
    <r>
      <t>Ticker:  YC</t>
    </r>
    <r>
      <rPr>
        <b/>
        <sz val="11"/>
        <color indexed="30"/>
        <rFont val="Calibri"/>
        <family val="2"/>
      </rPr>
      <t>SW</t>
    </r>
    <r>
      <rPr>
        <sz val="11"/>
        <rFont val="Calibri"/>
        <family val="2"/>
      </rPr>
      <t>0045 Index</t>
    </r>
  </si>
  <si>
    <r>
      <t>Ticker:  YC</t>
    </r>
    <r>
      <rPr>
        <b/>
        <sz val="11"/>
        <color indexed="30"/>
        <rFont val="Calibri"/>
        <family val="2"/>
      </rPr>
      <t>FC</t>
    </r>
    <r>
      <rPr>
        <sz val="11"/>
        <rFont val="Calibri"/>
        <family val="2"/>
      </rPr>
      <t>00258 Index</t>
    </r>
  </si>
  <si>
    <r>
      <t xml:space="preserve">= EUR </t>
    </r>
    <r>
      <rPr>
        <b/>
        <sz val="11"/>
        <color indexed="30"/>
        <rFont val="Calibri"/>
        <family val="2"/>
      </rPr>
      <t>Sw</t>
    </r>
    <r>
      <rPr>
        <sz val="11"/>
        <rFont val="Calibri"/>
        <family val="2"/>
      </rPr>
      <t>ap Curve</t>
    </r>
  </si>
  <si>
    <r>
      <t xml:space="preserve">= Swiss AA Rated </t>
    </r>
    <r>
      <rPr>
        <b/>
        <sz val="11"/>
        <color indexed="30"/>
        <rFont val="Calibri"/>
        <family val="2"/>
      </rPr>
      <t>F</t>
    </r>
    <r>
      <rPr>
        <sz val="11"/>
        <rFont val="Calibri"/>
        <family val="2"/>
      </rPr>
      <t xml:space="preserve">air </t>
    </r>
    <r>
      <rPr>
        <b/>
        <sz val="11"/>
        <color indexed="30"/>
        <rFont val="Calibri"/>
        <family val="2"/>
      </rPr>
      <t>M</t>
    </r>
    <r>
      <rPr>
        <sz val="11"/>
        <rFont val="Calibri"/>
        <family val="2"/>
      </rPr>
      <t>arket Curve</t>
    </r>
  </si>
  <si>
    <r>
      <t xml:space="preserve">= German </t>
    </r>
    <r>
      <rPr>
        <b/>
        <sz val="11"/>
        <color indexed="30"/>
        <rFont val="Calibri"/>
        <family val="2"/>
      </rPr>
      <t>G</t>
    </r>
    <r>
      <rPr>
        <sz val="11"/>
        <rFont val="Calibri"/>
        <family val="2"/>
      </rPr>
      <t>overnment Curve</t>
    </r>
  </si>
  <si>
    <t>Issue DT</t>
  </si>
  <si>
    <r>
      <rPr>
        <b/>
        <sz val="16"/>
        <color indexed="8"/>
        <rFont val="Calibri"/>
        <family val="2"/>
      </rPr>
      <t>ICVS &lt;go&gt;</t>
    </r>
    <r>
      <rPr>
        <sz val="16"/>
        <color indexed="8"/>
        <rFont val="Calibri"/>
        <family val="2"/>
      </rPr>
      <t xml:space="preserve">  Locate the yield curves &amp; curve numbers via the functiuon</t>
    </r>
  </si>
  <si>
    <r>
      <t>To use curves in Excel add the letter S (=Swap) so the</t>
    </r>
    <r>
      <rPr>
        <sz val="16"/>
        <color indexed="10"/>
        <rFont val="Calibri"/>
        <family val="2"/>
      </rPr>
      <t xml:space="preserve"> </t>
    </r>
    <r>
      <rPr>
        <sz val="16"/>
        <color indexed="8"/>
        <rFont val="Calibri"/>
        <family val="2"/>
      </rPr>
      <t>ID becomes</t>
    </r>
    <r>
      <rPr>
        <sz val="16"/>
        <color indexed="10"/>
        <rFont val="Calibri"/>
        <family val="2"/>
      </rPr>
      <t xml:space="preserve"> </t>
    </r>
    <r>
      <rPr>
        <b/>
        <sz val="16"/>
        <color indexed="10"/>
        <rFont val="Calibri"/>
        <family val="2"/>
      </rPr>
      <t>S133</t>
    </r>
    <r>
      <rPr>
        <sz val="16"/>
        <color indexed="10"/>
        <rFont val="Calibri"/>
        <family val="2"/>
      </rPr>
      <t xml:space="preserve"> </t>
    </r>
    <r>
      <rPr>
        <sz val="16"/>
        <rFont val="Calibri"/>
        <family val="2"/>
      </rPr>
      <t>for the use in Excel or use letters like EUR.OIS</t>
    </r>
  </si>
  <si>
    <t>CTL+SHIFT+C  to refresn the curves</t>
  </si>
  <si>
    <r>
      <t xml:space="preserve">Downloading the </t>
    </r>
    <r>
      <rPr>
        <b/>
        <sz val="16"/>
        <color indexed="30"/>
        <rFont val="Calibri"/>
        <family val="2"/>
      </rPr>
      <t>Raw Data</t>
    </r>
    <r>
      <rPr>
        <b/>
        <sz val="16"/>
        <color indexed="8"/>
        <rFont val="Calibri"/>
        <family val="2"/>
      </rPr>
      <t xml:space="preserve"> into Excel</t>
    </r>
  </si>
  <si>
    <t>Raw data from ICVS &lt;go&gt;</t>
  </si>
  <si>
    <t>EUR.OIS  or  S133</t>
  </si>
  <si>
    <t>EUR.OIS</t>
  </si>
  <si>
    <t xml:space="preserve"> …or use curve no. from ICVS plus</t>
  </si>
  <si>
    <t xml:space="preserve">    the letter S eg. S133</t>
  </si>
  <si>
    <t>1 DY</t>
  </si>
  <si>
    <t>2 WK</t>
  </si>
  <si>
    <t>7 MO</t>
  </si>
  <si>
    <t>8 MO</t>
  </si>
  <si>
    <t>9 MO</t>
  </si>
  <si>
    <t>10 MO</t>
  </si>
  <si>
    <t>11 MO</t>
  </si>
  <si>
    <t>12 MO</t>
  </si>
  <si>
    <t>18 MO</t>
  </si>
  <si>
    <t>30 MO</t>
  </si>
  <si>
    <r>
      <t>Viewing the</t>
    </r>
    <r>
      <rPr>
        <b/>
        <sz val="16"/>
        <color indexed="30"/>
        <rFont val="Calibri"/>
        <family val="2"/>
      </rPr>
      <t xml:space="preserve"> Zero Curve </t>
    </r>
    <r>
      <rPr>
        <b/>
        <sz val="16"/>
        <rFont val="Calibri"/>
        <family val="2"/>
      </rPr>
      <t>Historical</t>
    </r>
  </si>
  <si>
    <t>Step 1   First strip the curve using   =BCurveStrip</t>
  </si>
  <si>
    <t>Step 2   Extract the Par curve, Zero coupon curve etc. using =Bview</t>
  </si>
  <si>
    <t>S133</t>
  </si>
  <si>
    <t xml:space="preserve">     =BCurveStrip(G33,"CurveDate=today")</t>
  </si>
  <si>
    <t>Par Bid</t>
  </si>
  <si>
    <t>Zero Bid</t>
  </si>
  <si>
    <t>Yield curve code</t>
  </si>
  <si>
    <t>YCGT00</t>
  </si>
  <si>
    <t>Security Name</t>
  </si>
  <si>
    <t>EH744057 Corp</t>
  </si>
  <si>
    <t>EJ706023 Corp</t>
  </si>
  <si>
    <t>EK107278 Corp</t>
  </si>
  <si>
    <t>EI587608 Corp</t>
  </si>
  <si>
    <t>40Y</t>
  </si>
  <si>
    <t>HISTORICAL curve</t>
  </si>
  <si>
    <t>Yield Curve Name</t>
  </si>
  <si>
    <t>EK412407 Corp</t>
  </si>
  <si>
    <t>EK311905 Corp</t>
  </si>
  <si>
    <t>COMPOSITION of the curve historically</t>
  </si>
  <si>
    <t>YCGT0018 index</t>
  </si>
  <si>
    <t>2y</t>
  </si>
  <si>
    <t>3y</t>
  </si>
  <si>
    <t>5y</t>
  </si>
  <si>
    <t>6y</t>
  </si>
  <si>
    <t>8y</t>
  </si>
  <si>
    <t>9y</t>
  </si>
  <si>
    <t>10y</t>
  </si>
  <si>
    <t>15y</t>
  </si>
  <si>
    <t>20y</t>
  </si>
  <si>
    <t>40y</t>
  </si>
  <si>
    <t>EK957527 Corp</t>
  </si>
  <si>
    <t>EK948272 Corp</t>
  </si>
  <si>
    <t>EK304399 Corp</t>
  </si>
  <si>
    <t>EK943057 Corp</t>
  </si>
  <si>
    <t>EH291397 Corp</t>
  </si>
  <si>
    <t>EK802407 Corp</t>
  </si>
  <si>
    <t>EI675594 Corp</t>
  </si>
  <si>
    <t>EJ227318 Corp</t>
  </si>
  <si>
    <t>EJ580150 Corp</t>
  </si>
  <si>
    <t>EK951532 Corp</t>
  </si>
  <si>
    <t>EI232143 Corp</t>
  </si>
  <si>
    <t>EK972288 Corp</t>
  </si>
  <si>
    <t>EK957539 Corp</t>
  </si>
  <si>
    <t>EK877977 Corp</t>
  </si>
  <si>
    <t>EK981476 Corp</t>
  </si>
  <si>
    <t>EK355593 Corp</t>
  </si>
  <si>
    <t>EK999630 Corp</t>
  </si>
  <si>
    <t>EK999600 Corp</t>
  </si>
  <si>
    <t>EH499273 Corp</t>
  </si>
  <si>
    <t>EH890776 Corp</t>
  </si>
  <si>
    <t>EI771434 Corp</t>
  </si>
  <si>
    <t>EJ349095 Corp</t>
  </si>
  <si>
    <t>EI385485 Corp</t>
  </si>
  <si>
    <t>AF154152 Corp</t>
  </si>
  <si>
    <t>AF171781 Corp</t>
  </si>
  <si>
    <t>AF231868 Corp</t>
  </si>
  <si>
    <t>UV290304 Corp</t>
  </si>
  <si>
    <t>UV377567 Corp</t>
  </si>
  <si>
    <t>UV389471 Corp</t>
  </si>
  <si>
    <t>UV460193 Corp</t>
  </si>
  <si>
    <t>UV515998 Corp</t>
  </si>
  <si>
    <t>Corresponding Bloomberg ticker symbols for the above matrix (BOLD charecters indicates change on bond which I have highlighted manually)</t>
  </si>
  <si>
    <t xml:space="preserve">Current data </t>
  </si>
  <si>
    <t>Historical Data</t>
  </si>
  <si>
    <t>Change Bid Yield (BP)</t>
  </si>
  <si>
    <r>
      <t>Localt the curve ID number via</t>
    </r>
    <r>
      <rPr>
        <b/>
        <sz val="12"/>
        <color indexed="8"/>
        <rFont val="Calibri"/>
        <family val="2"/>
      </rPr>
      <t xml:space="preserve"> CRFV &lt;go&gt;</t>
    </r>
  </si>
  <si>
    <t>Spread in Basis points</t>
  </si>
  <si>
    <t>Forward yield</t>
  </si>
  <si>
    <t>Forward Price</t>
  </si>
  <si>
    <r>
      <t xml:space="preserve">Stripping and </t>
    </r>
    <r>
      <rPr>
        <b/>
        <sz val="16"/>
        <color indexed="30"/>
        <rFont val="Calibri"/>
        <family val="2"/>
      </rPr>
      <t>extracting the Zero Coupon Curve today</t>
    </r>
  </si>
  <si>
    <t xml:space="preserve">Z-spread </t>
  </si>
  <si>
    <t>Today's yield</t>
  </si>
  <si>
    <t>i.e. fields that appear white in FLDS&lt;GO&gt;</t>
  </si>
  <si>
    <t xml:space="preserve"> =BChain(B5,B8,"")</t>
  </si>
  <si>
    <t>=BDP(B9,$C$8)</t>
  </si>
  <si>
    <t xml:space="preserve"> =BChain(B5,E8,"")</t>
  </si>
  <si>
    <t>=BDP($E9,F$8)</t>
  </si>
  <si>
    <t xml:space="preserve">                                 =(B107,C105,C106,C107)</t>
  </si>
  <si>
    <r>
      <t>Syntax   =BSRCH("FI:</t>
    </r>
    <r>
      <rPr>
        <b/>
        <i/>
        <sz val="11"/>
        <rFont val="Calibri"/>
        <family val="2"/>
      </rPr>
      <t>Your custom search name</t>
    </r>
    <r>
      <rPr>
        <b/>
        <sz val="11"/>
        <rFont val="Calibri"/>
        <family val="2"/>
      </rPr>
      <t>"</t>
    </r>
    <r>
      <rPr>
        <b/>
        <sz val="11"/>
        <color indexed="8"/>
        <rFont val="Calibri"/>
        <family val="2"/>
      </rPr>
      <t>)</t>
    </r>
  </si>
  <si>
    <t>Input your own values below</t>
  </si>
  <si>
    <t>Current curve</t>
  </si>
  <si>
    <t>Historical curve</t>
  </si>
  <si>
    <r>
      <t>Ticker:  YC</t>
    </r>
    <r>
      <rPr>
        <b/>
        <sz val="11"/>
        <color indexed="30"/>
        <rFont val="Calibri"/>
        <family val="2"/>
      </rPr>
      <t>GT</t>
    </r>
    <r>
      <rPr>
        <sz val="11"/>
        <rFont val="Calibri"/>
        <family val="2"/>
      </rPr>
      <t>0016 Index</t>
    </r>
  </si>
  <si>
    <t>EUR.6M</t>
  </si>
  <si>
    <t>Raw data from ICVS &lt;go&gt; from today</t>
  </si>
  <si>
    <t xml:space="preserve">       =BView(G31,"updatetime")</t>
  </si>
  <si>
    <t>Yield curve no.</t>
  </si>
  <si>
    <t>Bid yld</t>
  </si>
  <si>
    <t>Mid yield</t>
  </si>
  <si>
    <t>Ask yield</t>
  </si>
  <si>
    <t>JV897349 Corp</t>
  </si>
  <si>
    <t>EK725587 Corp</t>
  </si>
  <si>
    <t>JV863372 Corp</t>
  </si>
  <si>
    <t>EH680297 Corp</t>
  </si>
  <si>
    <t>EI067129 Corp</t>
  </si>
  <si>
    <t>JV296735 Corp</t>
  </si>
  <si>
    <t>EI959494 Corp</t>
  </si>
  <si>
    <t>EJ976639 Corp</t>
  </si>
  <si>
    <t>EK683602 Corp</t>
  </si>
  <si>
    <t>AH008231 Corp</t>
  </si>
  <si>
    <t>JV336866 Corp</t>
  </si>
  <si>
    <t>JV207518 Corp</t>
  </si>
  <si>
    <t>Change of yield used in the lower graph based on the values seen just  below.</t>
  </si>
  <si>
    <t>J50+(L50-J50)*((H50-I50)/(K50-I50))</t>
  </si>
  <si>
    <r>
      <t>Interpolation calculations using Microsoft "Index Match" function (</t>
    </r>
    <r>
      <rPr>
        <i/>
        <sz val="16"/>
        <color indexed="8"/>
        <rFont val="Calibri"/>
        <family val="2"/>
      </rPr>
      <t>what a nightmare!</t>
    </r>
    <r>
      <rPr>
        <sz val="16"/>
        <color indexed="8"/>
        <rFont val="Calibri"/>
        <family val="2"/>
      </rPr>
      <t>)</t>
    </r>
  </si>
  <si>
    <t>SEB 0.75 21 Corp</t>
  </si>
  <si>
    <t>dbr 1 25 Govt</t>
  </si>
  <si>
    <t>dbr 1 2025 govt</t>
  </si>
  <si>
    <t>seb 0.75 21 corp</t>
  </si>
  <si>
    <r>
      <t xml:space="preserve">Example 1  </t>
    </r>
    <r>
      <rPr>
        <b/>
        <sz val="11"/>
        <rFont val="Calibri"/>
        <family val="2"/>
      </rPr>
      <t xml:space="preserve">Bond price known: </t>
    </r>
    <r>
      <rPr>
        <sz val="11"/>
        <rFont val="Calibri"/>
        <family val="2"/>
      </rPr>
      <t>calculate yield and spread via the  PAR  curve</t>
    </r>
  </si>
  <si>
    <r>
      <t xml:space="preserve">Example 2  </t>
    </r>
    <r>
      <rPr>
        <b/>
        <sz val="11"/>
        <rFont val="Calibri"/>
        <family val="2"/>
      </rPr>
      <t>Bond spread known:</t>
    </r>
    <r>
      <rPr>
        <sz val="11"/>
        <rFont val="Calibri"/>
        <family val="2"/>
      </rPr>
      <t xml:space="preserve"> calculate price and yield via the  PAR  curve</t>
    </r>
  </si>
  <si>
    <r>
      <t xml:space="preserve">Example 3  </t>
    </r>
    <r>
      <rPr>
        <b/>
        <sz val="11"/>
        <rFont val="Calibri"/>
        <family val="2"/>
      </rPr>
      <t xml:space="preserve">Bond yield known: </t>
    </r>
    <r>
      <rPr>
        <sz val="11"/>
        <rFont val="Calibri"/>
        <family val="2"/>
      </rPr>
      <t>calculate price and spread via the  PAR  curve</t>
    </r>
  </si>
  <si>
    <r>
      <t xml:space="preserve">Example 1  </t>
    </r>
    <r>
      <rPr>
        <b/>
        <sz val="11"/>
        <rFont val="Calibri"/>
        <family val="2"/>
      </rPr>
      <t xml:space="preserve">Bond price known: </t>
    </r>
    <r>
      <rPr>
        <sz val="11"/>
        <rFont val="Calibri"/>
        <family val="2"/>
      </rPr>
      <t>calculate yield and spread via the  ZERO  curve</t>
    </r>
  </si>
  <si>
    <r>
      <t xml:space="preserve">Example 2  </t>
    </r>
    <r>
      <rPr>
        <b/>
        <sz val="11"/>
        <rFont val="Calibri"/>
        <family val="2"/>
      </rPr>
      <t>Bond spread known:</t>
    </r>
    <r>
      <rPr>
        <sz val="11"/>
        <rFont val="Calibri"/>
        <family val="2"/>
      </rPr>
      <t xml:space="preserve"> calculate price and yield via the  ZERO  curve</t>
    </r>
  </si>
  <si>
    <r>
      <t xml:space="preserve">Example 3  </t>
    </r>
    <r>
      <rPr>
        <b/>
        <sz val="11"/>
        <rFont val="Calibri"/>
        <family val="2"/>
      </rPr>
      <t xml:space="preserve">Bond yield known: </t>
    </r>
    <r>
      <rPr>
        <sz val="11"/>
        <rFont val="Calibri"/>
        <family val="2"/>
      </rPr>
      <t>calculate price and spread via the  ZERO  curve</t>
    </r>
  </si>
  <si>
    <t>Interpolation is based on the simple rates and then recomputed  and is expressed as a compounded rates &gt;1y, otherwise simple rates</t>
  </si>
  <si>
    <r>
      <t xml:space="preserve">To download extensive examples enter </t>
    </r>
    <r>
      <rPr>
        <b/>
        <i/>
        <sz val="16"/>
        <color indexed="23"/>
        <rFont val="Calibri"/>
        <family val="2"/>
      </rPr>
      <t>XLTP XCTK &lt;go&gt;</t>
    </r>
    <r>
      <rPr>
        <i/>
        <sz val="16"/>
        <color indexed="23"/>
        <rFont val="Calibri"/>
        <family val="2"/>
      </rPr>
      <t xml:space="preserve"> in your Bloomberg</t>
    </r>
  </si>
  <si>
    <t xml:space="preserve">Example 1 </t>
  </si>
  <si>
    <t>BDS(B49,B50)</t>
  </si>
  <si>
    <t xml:space="preserve"> =BDS(C49,C50)</t>
  </si>
  <si>
    <t>=BDP(C55,$D$50)</t>
  </si>
  <si>
    <t>=BDP($C55,E$50)</t>
  </si>
  <si>
    <t>=BDP($C55,F$50)</t>
  </si>
  <si>
    <t>=BDH($C55,G$50,$G$49,$G$49)</t>
  </si>
  <si>
    <t>=BDH($C55,H$50,$G$49,$G$49)</t>
  </si>
  <si>
    <t>curve members</t>
  </si>
  <si>
    <t xml:space="preserve"> curve terms</t>
  </si>
  <si>
    <t>curve date</t>
  </si>
  <si>
    <t>issue DT</t>
  </si>
  <si>
    <t>Change of yield in Basis Points (current value - historical value)</t>
  </si>
  <si>
    <t>Tenos</t>
  </si>
  <si>
    <t>CURRENT curve</t>
  </si>
  <si>
    <t xml:space="preserve">      Formula used in cell I143   =BDP(C143,$I$142))</t>
  </si>
  <si>
    <t>Todays date =</t>
  </si>
  <si>
    <t>Years remaining</t>
  </si>
  <si>
    <t>=BDP(C117,"YRS_TO_LONGEST_AVG_LIFE")</t>
  </si>
  <si>
    <t>Remaining Life (Y)</t>
  </si>
  <si>
    <t>=C116&amp;D116&amp;" index"</t>
  </si>
  <si>
    <r>
      <rPr>
        <sz val="14"/>
        <color indexed="17"/>
        <rFont val="Calibri"/>
        <family val="2"/>
      </rPr>
      <t xml:space="preserve">Current </t>
    </r>
    <r>
      <rPr>
        <sz val="14"/>
        <rFont val="Calibri"/>
        <family val="2"/>
      </rPr>
      <t>&amp;</t>
    </r>
    <r>
      <rPr>
        <sz val="14"/>
        <color indexed="10"/>
        <rFont val="Calibri"/>
        <family val="2"/>
      </rPr>
      <t xml:space="preserve"> Historical </t>
    </r>
    <r>
      <rPr>
        <sz val="14"/>
        <rFont val="Calibri"/>
        <family val="2"/>
      </rPr>
      <t>&amp;</t>
    </r>
    <r>
      <rPr>
        <sz val="14"/>
        <color indexed="62"/>
        <rFont val="Calibri"/>
        <family val="2"/>
      </rPr>
      <t xml:space="preserve"> </t>
    </r>
    <r>
      <rPr>
        <sz val="14"/>
        <color indexed="30"/>
        <rFont val="Calibri"/>
        <family val="2"/>
      </rPr>
      <t xml:space="preserve">Forward Curve; based on user inputtable repo rates (cell M178). </t>
    </r>
  </si>
  <si>
    <t>Example 2 (different layout &amp; data set)</t>
  </si>
  <si>
    <t xml:space="preserve"> =BDP(C117,$I$116))</t>
  </si>
  <si>
    <t>=BDS(B116,"CURVE_TENOR_RATES")</t>
  </si>
  <si>
    <t>=BDP($C86,H$83)</t>
  </si>
  <si>
    <t>=BDS(B142,"CURVE_TENOR_RATES","CURVE_DATE="&amp;D141)</t>
  </si>
  <si>
    <t>JV937920 Corp</t>
  </si>
  <si>
    <t>yyyymmdd</t>
  </si>
  <si>
    <t>(see note in cell B25)</t>
  </si>
  <si>
    <r>
      <rPr>
        <b/>
        <sz val="12"/>
        <color indexed="8"/>
        <rFont val="Calibri"/>
        <family val="2"/>
      </rPr>
      <t>Bold</t>
    </r>
    <r>
      <rPr>
        <sz val="12"/>
        <color indexed="8"/>
        <rFont val="Calibri"/>
        <family val="2"/>
      </rPr>
      <t xml:space="preserve"> illustrates change of security.  The bonds ID code used in the yield curve can be seen in cell D211 and onwards</t>
    </r>
  </si>
  <si>
    <t>UV342929 Corp</t>
  </si>
  <si>
    <t>UV405751 Corp</t>
  </si>
  <si>
    <t>EK986748 Corp</t>
  </si>
  <si>
    <t>EK972270 Corp</t>
  </si>
  <si>
    <t>United States</t>
  </si>
  <si>
    <t>Canada</t>
  </si>
  <si>
    <t>Des Moines</t>
  </si>
  <si>
    <t>United Kingdom</t>
  </si>
  <si>
    <t>Netherlands</t>
  </si>
  <si>
    <t>Amsterdam</t>
  </si>
  <si>
    <t>change in BP</t>
  </si>
  <si>
    <t xml:space="preserve">     =BView(G34,"maturity,par.bid,zc.bid")</t>
  </si>
  <si>
    <t>Zero Curve historically</t>
  </si>
  <si>
    <t>Zero Curve Today</t>
  </si>
  <si>
    <t>Change in BP</t>
  </si>
  <si>
    <t>EQS &lt;go&gt;</t>
  </si>
  <si>
    <t>Old old Style</t>
  </si>
  <si>
    <t>Px Bid</t>
  </si>
  <si>
    <t>Px Ask</t>
  </si>
  <si>
    <t>Pricing Source</t>
  </si>
  <si>
    <t xml:space="preserve">    Relative dates generation via BDH formula</t>
  </si>
  <si>
    <t xml:space="preserve">      When downloading time series you can use relative dates instead of a simple start date and end date. There is a vast number of ways you can do that. </t>
  </si>
  <si>
    <t xml:space="preserve">      Below you will find an copy of the help pages which can be found in the Bloomberg toolbar under the section "Help" as seen below</t>
  </si>
  <si>
    <t xml:space="preserve">Download the result of your stored security search in Bloomberg straight into Excel </t>
  </si>
  <si>
    <t>Use Bloomberg calculation modules in Excel</t>
  </si>
  <si>
    <t>Replace error messages with your own</t>
  </si>
  <si>
    <t>Slow down update frequency</t>
  </si>
  <si>
    <t>Obtain data unique to US Mortgage bonds</t>
  </si>
  <si>
    <t>Perform Repo calculations using our calculatiion routine</t>
  </si>
  <si>
    <t>Realtime Intraday and Historical Bar Data</t>
  </si>
  <si>
    <t>Easy to use interpolation function</t>
  </si>
  <si>
    <t>Import equities directly from your saved search in Bloomberg (EQS &lt;go&gt;)</t>
  </si>
  <si>
    <t>Technical Analysis in Excel</t>
  </si>
  <si>
    <t>Technical Analysis in Excel (history)</t>
  </si>
  <si>
    <t>Create zero coupon curves in Excel</t>
  </si>
  <si>
    <r>
      <rPr>
        <sz val="11"/>
        <color indexed="10"/>
        <rFont val="Calibri"/>
        <family val="2"/>
      </rPr>
      <t xml:space="preserve">1. First strip the curve using              </t>
    </r>
    <r>
      <rPr>
        <sz val="11"/>
        <color indexed="62"/>
        <rFont val="Calibri"/>
        <family val="2"/>
      </rPr>
      <t xml:space="preserve"> </t>
    </r>
    <r>
      <rPr>
        <sz val="11"/>
        <rFont val="Calibri"/>
        <family val="2"/>
      </rPr>
      <t>=BCurveStrip</t>
    </r>
  </si>
  <si>
    <t xml:space="preserve">                To view the definition of a particular field and which fields react to change of </t>
  </si>
  <si>
    <t xml:space="preserve">                for example YAS_BOND_PRIC simply click on the above field in question</t>
  </si>
  <si>
    <t xml:space="preserve">Download historical data </t>
  </si>
  <si>
    <t>Download live and static data</t>
  </si>
  <si>
    <t>Download all bonds issued by say Vodafone in one go</t>
  </si>
  <si>
    <t>Create forward rate for a striped curve</t>
  </si>
  <si>
    <t>Create forward points &amp; matrices in Excel using our calculation routine</t>
  </si>
  <si>
    <t>Derivative Library for Excel DLGO  &lt;go&gt;</t>
  </si>
  <si>
    <t>Derivative Library and Resource Center</t>
  </si>
  <si>
    <r>
      <t xml:space="preserve"> </t>
    </r>
    <r>
      <rPr>
        <sz val="11"/>
        <color indexed="10"/>
        <rFont val="Calibri"/>
        <family val="2"/>
      </rPr>
      <t xml:space="preserve"> </t>
    </r>
    <r>
      <rPr>
        <u/>
        <sz val="11"/>
        <color indexed="8"/>
        <rFont val="Calibri"/>
        <family val="2"/>
      </rPr>
      <t>"Refresh Workbooks" (</t>
    </r>
    <r>
      <rPr>
        <u/>
        <sz val="11"/>
        <rFont val="Calibri"/>
        <family val="2"/>
      </rPr>
      <t>see right)</t>
    </r>
    <r>
      <rPr>
        <sz val="11"/>
        <rFont val="Calibri"/>
        <family val="2"/>
      </rPr>
      <t xml:space="preserve"> in the </t>
    </r>
    <r>
      <rPr>
        <b/>
        <sz val="11"/>
        <rFont val="Calibri"/>
        <family val="2"/>
      </rPr>
      <t>Bloomberg toolbar</t>
    </r>
    <r>
      <rPr>
        <sz val="11"/>
        <rFont val="Calibri"/>
        <family val="2"/>
      </rPr>
      <t xml:space="preserve">. Static fields are typical </t>
    </r>
  </si>
  <si>
    <t>Only the ticker symbols</t>
  </si>
  <si>
    <t>will be imported but</t>
  </si>
  <si>
    <t>includes the pricing</t>
  </si>
  <si>
    <r>
      <t>EUSW1VC</t>
    </r>
    <r>
      <rPr>
        <sz val="11"/>
        <color indexed="10"/>
        <rFont val="Calibri"/>
        <family val="2"/>
      </rPr>
      <t xml:space="preserve"> BXSW</t>
    </r>
    <r>
      <rPr>
        <sz val="11"/>
        <color theme="1"/>
        <rFont val="Calibri"/>
        <family val="3"/>
        <charset val="128"/>
        <scheme val="minor"/>
      </rPr>
      <t xml:space="preserve"> Curncy</t>
    </r>
  </si>
  <si>
    <t>source automatically</t>
  </si>
  <si>
    <r>
      <t xml:space="preserve">EUSW10V3 </t>
    </r>
    <r>
      <rPr>
        <sz val="11"/>
        <color indexed="10"/>
        <rFont val="Calibri"/>
        <family val="2"/>
      </rPr>
      <t xml:space="preserve">BXSW </t>
    </r>
    <r>
      <rPr>
        <sz val="11"/>
        <color theme="1"/>
        <rFont val="Calibri"/>
        <family val="3"/>
        <charset val="128"/>
        <scheme val="minor"/>
      </rPr>
      <t>Curncy</t>
    </r>
  </si>
  <si>
    <r>
      <t xml:space="preserve">EUSW9V3 </t>
    </r>
    <r>
      <rPr>
        <sz val="11"/>
        <color indexed="10"/>
        <rFont val="Calibri"/>
        <family val="2"/>
      </rPr>
      <t>BXSW</t>
    </r>
    <r>
      <rPr>
        <sz val="11"/>
        <color theme="1"/>
        <rFont val="Calibri"/>
        <family val="3"/>
        <charset val="128"/>
        <scheme val="minor"/>
      </rPr>
      <t xml:space="preserve"> Curncy</t>
    </r>
  </si>
  <si>
    <r>
      <t xml:space="preserve">EUSW8V3 </t>
    </r>
    <r>
      <rPr>
        <sz val="11"/>
        <color indexed="10"/>
        <rFont val="Calibri"/>
        <family val="2"/>
      </rPr>
      <t>BXSW</t>
    </r>
    <r>
      <rPr>
        <sz val="11"/>
        <color theme="1"/>
        <rFont val="Calibri"/>
        <family val="3"/>
        <charset val="128"/>
        <scheme val="minor"/>
      </rPr>
      <t xml:space="preserve"> Curncy</t>
    </r>
  </si>
  <si>
    <r>
      <t xml:space="preserve">EUSW7V3 </t>
    </r>
    <r>
      <rPr>
        <sz val="11"/>
        <color indexed="10"/>
        <rFont val="Calibri"/>
        <family val="2"/>
      </rPr>
      <t>BXSW</t>
    </r>
    <r>
      <rPr>
        <sz val="11"/>
        <color theme="1"/>
        <rFont val="Calibri"/>
        <family val="3"/>
        <charset val="128"/>
        <scheme val="minor"/>
      </rPr>
      <t xml:space="preserve"> Curncy</t>
    </r>
  </si>
  <si>
    <r>
      <t xml:space="preserve">EUSW6V3 </t>
    </r>
    <r>
      <rPr>
        <sz val="11"/>
        <color indexed="10"/>
        <rFont val="Calibri"/>
        <family val="2"/>
      </rPr>
      <t>BXSW</t>
    </r>
    <r>
      <rPr>
        <sz val="11"/>
        <color theme="1"/>
        <rFont val="Calibri"/>
        <family val="3"/>
        <charset val="128"/>
        <scheme val="minor"/>
      </rPr>
      <t xml:space="preserve"> Curncy</t>
    </r>
  </si>
  <si>
    <r>
      <t xml:space="preserve">EUSW5V3 </t>
    </r>
    <r>
      <rPr>
        <sz val="11"/>
        <color indexed="10"/>
        <rFont val="Calibri"/>
        <family val="2"/>
      </rPr>
      <t>BXSW</t>
    </r>
    <r>
      <rPr>
        <sz val="11"/>
        <color theme="1"/>
        <rFont val="Calibri"/>
        <family val="3"/>
        <charset val="128"/>
        <scheme val="minor"/>
      </rPr>
      <t xml:space="preserve"> Curncy</t>
    </r>
  </si>
  <si>
    <r>
      <t xml:space="preserve">EUSW4V3 </t>
    </r>
    <r>
      <rPr>
        <sz val="11"/>
        <color indexed="10"/>
        <rFont val="Calibri"/>
        <family val="2"/>
      </rPr>
      <t>BXSW</t>
    </r>
    <r>
      <rPr>
        <sz val="11"/>
        <color theme="1"/>
        <rFont val="Calibri"/>
        <family val="3"/>
        <charset val="128"/>
        <scheme val="minor"/>
      </rPr>
      <t xml:space="preserve"> Curncy</t>
    </r>
  </si>
  <si>
    <r>
      <t xml:space="preserve">EUSW3V3 </t>
    </r>
    <r>
      <rPr>
        <sz val="11"/>
        <color indexed="10"/>
        <rFont val="Calibri"/>
        <family val="2"/>
      </rPr>
      <t>BXSW</t>
    </r>
    <r>
      <rPr>
        <sz val="11"/>
        <color theme="1"/>
        <rFont val="Calibri"/>
        <family val="3"/>
        <charset val="128"/>
        <scheme val="minor"/>
      </rPr>
      <t xml:space="preserve"> Curncy</t>
    </r>
  </si>
  <si>
    <r>
      <t xml:space="preserve">EUSW2V3 </t>
    </r>
    <r>
      <rPr>
        <sz val="11"/>
        <color indexed="10"/>
        <rFont val="Calibri"/>
        <family val="2"/>
      </rPr>
      <t>BXSW</t>
    </r>
    <r>
      <rPr>
        <sz val="11"/>
        <color theme="1"/>
        <rFont val="Calibri"/>
        <family val="3"/>
        <charset val="128"/>
        <scheme val="minor"/>
      </rPr>
      <t xml:space="preserve"> Curncy</t>
    </r>
  </si>
  <si>
    <r>
      <t xml:space="preserve">EUSWV31F </t>
    </r>
    <r>
      <rPr>
        <sz val="11"/>
        <color indexed="10"/>
        <rFont val="Calibri"/>
        <family val="2"/>
      </rPr>
      <t xml:space="preserve">BXSW </t>
    </r>
    <r>
      <rPr>
        <sz val="11"/>
        <color theme="1"/>
        <rFont val="Calibri"/>
        <family val="3"/>
        <charset val="128"/>
        <scheme val="minor"/>
      </rPr>
      <t>Curncy</t>
    </r>
  </si>
  <si>
    <t>=BDP($U42,W$41)</t>
  </si>
  <si>
    <t>Import data from specific contributord</t>
  </si>
  <si>
    <t>SL540K4E corp</t>
  </si>
  <si>
    <t>SP9F3TYT corp</t>
  </si>
  <si>
    <t>SP9F3TYS corp</t>
  </si>
  <si>
    <t>SL5K04WI corp</t>
  </si>
  <si>
    <t>=BDP($K$110,$K$111)</t>
  </si>
  <si>
    <t xml:space="preserve">My Interest Rate Swaps </t>
  </si>
  <si>
    <t>My Credit Default Swaps</t>
  </si>
  <si>
    <t>Download bulk data such as cashflow from bonds, yield curves incl. zero coupon curves and much more</t>
  </si>
  <si>
    <t>Enter your own stored Swaps id codes to retrieve data, otherwise you will get '#N/A Invalid Security' and no data</t>
  </si>
  <si>
    <t>Enter your own stored CDS id codes to retrieve data, otherwise you will get '#N/A Invalid Security' and no data</t>
  </si>
  <si>
    <t>1SF</t>
  </si>
  <si>
    <t>Overview of Bloomberg's Excel functions</t>
  </si>
  <si>
    <t>OPSJFX9y curncy</t>
  </si>
  <si>
    <t>IS5513368 Equity</t>
  </si>
  <si>
    <r>
      <t xml:space="preserve">Economic Data/Statistics </t>
    </r>
    <r>
      <rPr>
        <sz val="14"/>
        <rFont val="Calibri"/>
        <family val="2"/>
      </rPr>
      <t>(enter</t>
    </r>
    <r>
      <rPr>
        <sz val="14"/>
        <color indexed="10"/>
        <rFont val="Calibri"/>
        <family val="2"/>
      </rPr>
      <t xml:space="preserve"> DOCS 2073059 &lt;go&gt; </t>
    </r>
    <r>
      <rPr>
        <sz val="14"/>
        <rFont val="Calibri"/>
        <family val="2"/>
      </rPr>
      <t>in your Bloomberg for</t>
    </r>
    <r>
      <rPr>
        <sz val="14"/>
        <color indexed="10"/>
        <rFont val="Calibri"/>
        <family val="2"/>
      </rPr>
      <t xml:space="preserve"> further examples of economic data </t>
    </r>
    <r>
      <rPr>
        <sz val="14"/>
        <rFont val="Calibri"/>
        <family val="2"/>
      </rPr>
      <t>in Bloomberg)</t>
    </r>
  </si>
  <si>
    <t>*Your notes*</t>
  </si>
  <si>
    <t>Enter your own stored SWAP id codes to get data (IRDL&lt;go&gt; to locate id values). Curve name (i.e. EUR +100) MUST BE IN CAPITAL LETTERS &amp; curves must be set up in ICVS &lt;go&gt; first!</t>
  </si>
  <si>
    <t>Enter your own stored CDS id codes (CDSL&lt;go&gt; to locate id values) to retrieve data</t>
  </si>
  <si>
    <t xml:space="preserve">            </t>
  </si>
  <si>
    <t xml:space="preserve">      Microsoft    =weekday     (1=sun  2=mon  3=tue  4=wed  5=thu  6=fri  7=sat)</t>
  </si>
  <si>
    <t xml:space="preserve">    For source codes enter FPDF &lt;go&gt;</t>
  </si>
  <si>
    <t>bst</t>
  </si>
  <si>
    <t>DBR 2 22 Govt FLDS YAS &lt;go&gt; or SIE GR Equity FLDS &lt;go&gt; and enter name of data field required</t>
  </si>
  <si>
    <r>
      <t>=BDP(</t>
    </r>
    <r>
      <rPr>
        <sz val="11"/>
        <color indexed="30"/>
        <rFont val="Calibri"/>
        <family val="2"/>
      </rPr>
      <t>$B68</t>
    </r>
    <r>
      <rPr>
        <sz val="11"/>
        <rFont val="Calibri"/>
        <family val="2"/>
      </rPr>
      <t>,</t>
    </r>
    <r>
      <rPr>
        <sz val="11"/>
        <color indexed="60"/>
        <rFont val="Calibri"/>
        <family val="2"/>
      </rPr>
      <t>C$67</t>
    </r>
    <r>
      <rPr>
        <sz val="11"/>
        <rFont val="Calibri"/>
        <family val="2"/>
      </rPr>
      <t>,</t>
    </r>
    <r>
      <rPr>
        <sz val="11"/>
        <color indexed="10"/>
        <rFont val="Calibri"/>
        <family val="2"/>
      </rPr>
      <t>$G$67:$H$67</t>
    </r>
    <r>
      <rPr>
        <sz val="11"/>
        <rFont val="Calibri"/>
        <family val="2"/>
      </rPr>
      <t>,</t>
    </r>
    <r>
      <rPr>
        <sz val="11"/>
        <color indexed="17"/>
        <rFont val="Calibri"/>
        <family val="2"/>
      </rPr>
      <t>$G68:$H68</t>
    </r>
    <r>
      <rPr>
        <sz val="11"/>
        <rFont val="Calibri"/>
        <family val="2"/>
      </rPr>
      <t>)</t>
    </r>
  </si>
  <si>
    <t>"Overridable fields" (enter your own values)</t>
  </si>
  <si>
    <r>
      <t xml:space="preserve">2) Click on the first "output" field  </t>
    </r>
    <r>
      <rPr>
        <sz val="11"/>
        <color indexed="60"/>
        <rFont val="Calibri"/>
        <family val="2"/>
      </rPr>
      <t>px bid</t>
    </r>
  </si>
  <si>
    <t xml:space="preserve">   =BDH(B122,$B$118,$C$118,$D$118)</t>
  </si>
  <si>
    <t xml:space="preserve">   =BDH(E122,$B$118,$C$118,$D$118)</t>
  </si>
  <si>
    <t xml:space="preserve">   =BDH(H122,$B$118,$C$118,$D$118)</t>
  </si>
  <si>
    <t xml:space="preserve">The above is a screen shoot for illustration purpose as you may not have access to </t>
  </si>
  <si>
    <t xml:space="preserve"> =BDP($C134,D$133)</t>
  </si>
  <si>
    <t>*Field Name</t>
  </si>
  <si>
    <t xml:space="preserve">                   Historical download of prices and yields of curve mebmbers</t>
  </si>
  <si>
    <t>=BDP(C117,$J$116)</t>
  </si>
  <si>
    <t>=D117</t>
  </si>
  <si>
    <t>=D143</t>
  </si>
  <si>
    <t>=(M117-N117)*100</t>
  </si>
  <si>
    <t>=B117</t>
  </si>
  <si>
    <t>Repo term date</t>
  </si>
  <si>
    <t>Security des</t>
  </si>
  <si>
    <t>=BDP($B171,C$169)</t>
  </si>
  <si>
    <t>ct2 govt</t>
  </si>
  <si>
    <t>ct3 govt</t>
  </si>
  <si>
    <t>ct4 govt</t>
  </si>
  <si>
    <t>ct5 govt</t>
  </si>
  <si>
    <t>ct7 govt</t>
  </si>
  <si>
    <t>ct30 govt</t>
  </si>
  <si>
    <t>Px bid</t>
  </si>
  <si>
    <t>From cell B171</t>
  </si>
  <si>
    <t>BView(G34,"updatetime")</t>
  </si>
  <si>
    <t>=BCurve(B33,"CurveDate=Today")</t>
  </si>
  <si>
    <t xml:space="preserve">     =BView(K34,"maturity,zc."&amp;"Bid")</t>
  </si>
  <si>
    <t xml:space="preserve">    =BCurveStrip(K33,"CurveDate="&amp;L30)</t>
  </si>
  <si>
    <t>"IF" statements used</t>
  </si>
  <si>
    <r>
      <t xml:space="preserve">        "IF" statements </t>
    </r>
    <r>
      <rPr>
        <sz val="11"/>
        <color indexed="10"/>
        <rFont val="Calibri"/>
        <family val="2"/>
      </rPr>
      <t>not</t>
    </r>
    <r>
      <rPr>
        <sz val="11"/>
        <rFont val="Calibri"/>
        <family val="2"/>
      </rPr>
      <t xml:space="preserve"> used</t>
    </r>
  </si>
  <si>
    <t>Barclays Swap prices. Please contact the provider directly if you wish to use their prices.</t>
  </si>
  <si>
    <t>NN GROUP NV</t>
  </si>
  <si>
    <t>Retrive prices from Bloomberg emails sent to you</t>
  </si>
  <si>
    <t>Bloomberg Resource Center BPS &lt;go&gt;</t>
  </si>
  <si>
    <t>BQR:</t>
  </si>
  <si>
    <t>BQRP:</t>
  </si>
  <si>
    <r>
      <t xml:space="preserve">Please download the extensive document vil Bloomberg by entering   </t>
    </r>
    <r>
      <rPr>
        <b/>
        <sz val="14"/>
        <color indexed="8"/>
        <rFont val="Calibri"/>
        <family val="2"/>
      </rPr>
      <t>XLTP XBQR &lt;go&gt;</t>
    </r>
  </si>
  <si>
    <t>The BQR function lets you retrieve tick data and comingle it with real-time data from your Bloomberg messages. It provides solution based views as well as extensive functionality for data analysis.</t>
  </si>
  <si>
    <t>The BQRP function lets you retrieve tick data and comingle it with real-time data from your Bloomberg messages. The output is in a single cell format</t>
  </si>
  <si>
    <t>Important note: If you do not see data in your Excel sheet that means you are not receiving price data for the securities via the Bloomberg message function</t>
  </si>
  <si>
    <r>
      <t xml:space="preserve">Pictures below is of XLTP XBQR spreadsheet  that shows examples of </t>
    </r>
    <r>
      <rPr>
        <b/>
        <sz val="11"/>
        <color indexed="8"/>
        <rFont val="Calibri"/>
        <family val="2"/>
      </rPr>
      <t xml:space="preserve">how to use the  BQR </t>
    </r>
    <r>
      <rPr>
        <sz val="11"/>
        <color indexed="8"/>
        <rFont val="Calibri"/>
        <family val="2"/>
      </rPr>
      <t xml:space="preserve"> and</t>
    </r>
    <r>
      <rPr>
        <b/>
        <sz val="11"/>
        <color indexed="8"/>
        <rFont val="Calibri"/>
        <family val="2"/>
      </rPr>
      <t xml:space="preserve">  BQRP  functions in Excel </t>
    </r>
    <r>
      <rPr>
        <sz val="10"/>
        <color indexed="8"/>
        <rFont val="Calibri"/>
        <family val="2"/>
      </rPr>
      <t>(same spreadsheet but different tabs; see below red boxes)</t>
    </r>
  </si>
  <si>
    <r>
      <t xml:space="preserve">API Developer's Help Site </t>
    </r>
    <r>
      <rPr>
        <sz val="11"/>
        <rFont val="Calibri"/>
        <family val="2"/>
      </rPr>
      <t>(including VBA Programming and more)</t>
    </r>
  </si>
  <si>
    <r>
      <rPr>
        <b/>
        <sz val="12"/>
        <color indexed="30"/>
        <rFont val="Calibri"/>
        <family val="2"/>
      </rPr>
      <t>XLTP &lt;go&gt;</t>
    </r>
    <r>
      <rPr>
        <sz val="12"/>
        <color indexed="62"/>
        <rFont val="Calibri"/>
        <family val="2"/>
      </rPr>
      <t xml:space="preserve"> </t>
    </r>
    <r>
      <rPr>
        <sz val="11"/>
        <color theme="1"/>
        <rFont val="Calibri"/>
        <family val="3"/>
        <charset val="128"/>
        <scheme val="minor"/>
      </rPr>
      <t xml:space="preserve">to locate and download premade spreadsheets  </t>
    </r>
  </si>
  <si>
    <t xml:space="preserve">           Field types</t>
  </si>
  <si>
    <r>
      <rPr>
        <b/>
        <sz val="14"/>
        <color indexed="30"/>
        <rFont val="Calibri"/>
        <family val="2"/>
      </rPr>
      <t>MAPI &lt;go</t>
    </r>
    <r>
      <rPr>
        <sz val="14"/>
        <color indexed="62"/>
        <rFont val="Calibri"/>
        <family val="2"/>
      </rPr>
      <t xml:space="preserve">&gt; </t>
    </r>
    <r>
      <rPr>
        <sz val="14"/>
        <color indexed="8"/>
        <rFont val="Calibri"/>
        <family val="2"/>
      </rPr>
      <t>is the home page for premade Mortgage spreadsheets</t>
    </r>
  </si>
  <si>
    <r>
      <rPr>
        <b/>
        <sz val="14"/>
        <color indexed="30"/>
        <rFont val="Calibri"/>
        <family val="2"/>
      </rPr>
      <t>EMBS &lt;go&gt;</t>
    </r>
    <r>
      <rPr>
        <sz val="14"/>
        <color indexed="62"/>
        <rFont val="Calibri"/>
        <family val="2"/>
      </rPr>
      <t xml:space="preserve"> </t>
    </r>
    <r>
      <rPr>
        <sz val="14"/>
        <color indexed="8"/>
        <rFont val="Calibri"/>
        <family val="2"/>
      </rPr>
      <t>is the Home page for European ABS/MBS securities including premade spreadsheets</t>
    </r>
  </si>
  <si>
    <r>
      <t xml:space="preserve">For all ABS/CMBS/RMBS related downloads including </t>
    </r>
    <r>
      <rPr>
        <u/>
        <sz val="11"/>
        <rFont val="Calibri"/>
        <family val="2"/>
      </rPr>
      <t>premade spreadsheets</t>
    </r>
    <r>
      <rPr>
        <sz val="11"/>
        <rFont val="Calibri"/>
        <family val="2"/>
      </rPr>
      <t xml:space="preserve"> enter MAPI &lt;go&gt; or EMBS &lt;go&gt; on your Bloomberg terminal - see cell L44 and L64</t>
    </r>
  </si>
  <si>
    <r>
      <rPr>
        <b/>
        <sz val="22"/>
        <color indexed="10"/>
        <rFont val="Calibri"/>
        <family val="2"/>
      </rPr>
      <t>Swap Yield Curves in Excel incl. Zero rates.</t>
    </r>
    <r>
      <rPr>
        <b/>
        <sz val="22"/>
        <color indexed="17"/>
        <rFont val="Calibri"/>
        <family val="2"/>
      </rPr>
      <t xml:space="preserve"> </t>
    </r>
    <r>
      <rPr>
        <b/>
        <sz val="22"/>
        <rFont val="Calibri"/>
        <family val="2"/>
      </rPr>
      <t xml:space="preserve">For Bond Yield Curves click on the </t>
    </r>
    <r>
      <rPr>
        <b/>
        <sz val="22"/>
        <color indexed="17"/>
        <rFont val="Calibri"/>
        <family val="2"/>
      </rPr>
      <t>green tab</t>
    </r>
    <r>
      <rPr>
        <b/>
        <sz val="22"/>
        <rFont val="Calibri"/>
        <family val="2"/>
      </rPr>
      <t xml:space="preserve"> named "Govt &amp; Corp Curves".</t>
    </r>
  </si>
  <si>
    <r>
      <rPr>
        <b/>
        <sz val="18"/>
        <rFont val="Calibri"/>
        <family val="2"/>
      </rPr>
      <t xml:space="preserve"> Method 2</t>
    </r>
    <r>
      <rPr>
        <sz val="18"/>
        <color indexed="30"/>
        <rFont val="Calibri"/>
        <family val="2"/>
      </rPr>
      <t xml:space="preserve">    </t>
    </r>
    <r>
      <rPr>
        <sz val="18"/>
        <rFont val="Calibri"/>
        <family val="2"/>
      </rPr>
      <t>Using an "if" statement</t>
    </r>
  </si>
  <si>
    <t>calculation routines (click tab "Overrides")</t>
  </si>
  <si>
    <t>EH6131138 Govt</t>
  </si>
  <si>
    <t>EI8792380 Govt</t>
  </si>
  <si>
    <t>dbr 2 22 Govt</t>
  </si>
  <si>
    <t>SEB 2 21</t>
  </si>
  <si>
    <r>
      <t xml:space="preserve">a) </t>
    </r>
    <r>
      <rPr>
        <u/>
        <sz val="11"/>
        <color indexed="17"/>
        <rFont val="Calibri"/>
        <family val="2"/>
      </rPr>
      <t xml:space="preserve">Input </t>
    </r>
    <r>
      <rPr>
        <sz val="11"/>
        <color indexed="17"/>
        <rFont val="Calibri"/>
        <family val="2"/>
      </rPr>
      <t>fields</t>
    </r>
    <r>
      <rPr>
        <sz val="11"/>
        <rFont val="Calibri"/>
        <family val="2"/>
      </rPr>
      <t xml:space="preserve"> (overridable) i.e. Price, Yield, VWAP Date, VWAP Time, Settlement Date, etc.</t>
    </r>
  </si>
  <si>
    <r>
      <t>b</t>
    </r>
    <r>
      <rPr>
        <sz val="11"/>
        <color indexed="10"/>
        <rFont val="Calibri"/>
        <family val="2"/>
      </rPr>
      <t xml:space="preserve">) </t>
    </r>
    <r>
      <rPr>
        <u/>
        <sz val="11"/>
        <color indexed="10"/>
        <rFont val="Calibri"/>
        <family val="2"/>
      </rPr>
      <t>Output</t>
    </r>
    <r>
      <rPr>
        <sz val="11"/>
        <color indexed="10"/>
        <rFont val="Calibri"/>
        <family val="2"/>
      </rPr>
      <t xml:space="preserve"> fields</t>
    </r>
    <r>
      <rPr>
        <sz val="11"/>
        <rFont val="Calibri"/>
        <family val="2"/>
      </rPr>
      <t xml:space="preserve"> (reactive) fields i.e. reacts to the value you enter into entered into the overridable cell e.g. Price, Yield, VWAP Price,  Market Value, DV01, etc.</t>
    </r>
  </si>
  <si>
    <t>XLTP &lt;go&gt;</t>
  </si>
  <si>
    <t xml:space="preserve">DAPI &lt;go&gt;   </t>
  </si>
  <si>
    <t xml:space="preserve">Access Bloomberg's Derivative Library   </t>
  </si>
  <si>
    <t xml:space="preserve">DLGO &lt;go&gt;   </t>
  </si>
  <si>
    <r>
      <t>Download 400+ free pre-made spreadsheets</t>
    </r>
    <r>
      <rPr>
        <b/>
        <sz val="16"/>
        <color indexed="17"/>
        <rFont val="Calibri"/>
        <family val="2"/>
      </rPr>
      <t/>
    </r>
  </si>
  <si>
    <t>Target Calendar for EUR</t>
  </si>
  <si>
    <t xml:space="preserve"> =BAddPeriods(B33,"numberofperiods="&amp;$D$33,"CDR="&amp;$H$31)</t>
  </si>
  <si>
    <t>=WEEKDAY(E33)</t>
  </si>
  <si>
    <t>Microsoft  1=sun  2=mon  3=tue  4=wed 5=thu  6=fri  7= sat</t>
  </si>
  <si>
    <t xml:space="preserve"> = 8m or 6y or 63m etc</t>
  </si>
  <si>
    <t>For client wanting to use VBA programming language please refer to WAPI &lt;go&gt; where you will find all the necessary  tools including all documentation.</t>
  </si>
  <si>
    <r>
      <t xml:space="preserve">Please enter </t>
    </r>
    <r>
      <rPr>
        <sz val="13"/>
        <color indexed="10"/>
        <rFont val="Calibri"/>
        <family val="2"/>
      </rPr>
      <t>WAPI &lt;go&gt;</t>
    </r>
    <r>
      <rPr>
        <sz val="13"/>
        <rFont val="Calibri"/>
        <family val="2"/>
      </rPr>
      <t xml:space="preserve"> in Bloomberg  to access API Developer's help site</t>
    </r>
  </si>
  <si>
    <t xml:space="preserve">    Enter DOCS 2055451 &lt;go&gt; in Bloomberg to download a collection of samples using the VBA programming language  in Bloomberg</t>
  </si>
  <si>
    <t>STATE FARM MUTUAL AU</t>
  </si>
  <si>
    <t>Drag/drop icon into Excel</t>
  </si>
  <si>
    <t>DAPI &lt;help&gt;   or   DAPI [F1]</t>
  </si>
  <si>
    <t xml:space="preserve">      Note, that pressing the "Refresh" button in the Bloomberg toolbar will refresh all static data</t>
  </si>
  <si>
    <r>
      <t xml:space="preserve">   </t>
    </r>
    <r>
      <rPr>
        <sz val="11"/>
        <color indexed="30"/>
        <rFont val="Calibri"/>
        <family val="2"/>
      </rPr>
      <t xml:space="preserve">  To refresh all data via the keyboard enter and hold &lt;CTLR&gt;  &lt;SHIFT&gt;  and press the letter C </t>
    </r>
  </si>
  <si>
    <t xml:space="preserve">       =BAddPeriods(B32,C32,"numberofperiods="&amp;D32,"Per=wd")</t>
  </si>
  <si>
    <t xml:space="preserve">               =BCountPeriods(C62,C63,E65,E67,E66,E68)</t>
  </si>
  <si>
    <t>Per=D</t>
  </si>
  <si>
    <t xml:space="preserve"> =BCountPeriods$B$53,E53,F53,G53,$C$53)</t>
  </si>
  <si>
    <r>
      <t>PER=</t>
    </r>
    <r>
      <rPr>
        <sz val="11"/>
        <color indexed="30"/>
        <rFont val="Calibri"/>
        <family val="2"/>
      </rPr>
      <t>D</t>
    </r>
  </si>
  <si>
    <t>CDR &lt;go&gt;</t>
  </si>
  <si>
    <r>
      <rPr>
        <sz val="11"/>
        <color indexed="30"/>
        <rFont val="Calibri"/>
        <family val="2"/>
      </rPr>
      <t>days</t>
    </r>
    <r>
      <rPr>
        <sz val="11"/>
        <color theme="1"/>
        <rFont val="Calibri"/>
        <family val="3"/>
        <charset val="128"/>
        <scheme val="minor"/>
      </rPr>
      <t xml:space="preserve">  </t>
    </r>
    <r>
      <rPr>
        <sz val="11"/>
        <color indexed="17"/>
        <rFont val="Calibri"/>
        <family val="2"/>
      </rPr>
      <t>years</t>
    </r>
  </si>
  <si>
    <r>
      <t>PER=</t>
    </r>
    <r>
      <rPr>
        <sz val="11"/>
        <color indexed="17"/>
        <rFont val="Calibri"/>
        <family val="2"/>
      </rPr>
      <t>Y</t>
    </r>
  </si>
  <si>
    <t>EN = England      DE = Denmark</t>
  </si>
  <si>
    <t>to view</t>
  </si>
  <si>
    <t>codes</t>
  </si>
  <si>
    <t>Realtime and Historical Analysis of technicals.</t>
  </si>
  <si>
    <t>Historical and Realtime Technical Analysis</t>
  </si>
  <si>
    <t xml:space="preserve">   =BTH($C$29,$C$30:$C$30,C31,C32,"SMAVG",B33:B40,C33:C40)</t>
  </si>
  <si>
    <t>=BView(O31,"updatetime")</t>
  </si>
  <si>
    <t>Extract the data via BView</t>
  </si>
  <si>
    <t xml:space="preserve">Step 3: The BView (Bloomberg curve viewer) formula </t>
  </si>
  <si>
    <r>
      <t xml:space="preserve">Returnes the </t>
    </r>
    <r>
      <rPr>
        <b/>
        <sz val="14"/>
        <color indexed="30"/>
        <rFont val="Calibri"/>
        <family val="2"/>
      </rPr>
      <t>raw data</t>
    </r>
    <r>
      <rPr>
        <sz val="14"/>
        <color indexed="30"/>
        <rFont val="Calibri"/>
        <family val="2"/>
      </rPr>
      <t xml:space="preserve"> from ICVS </t>
    </r>
  </si>
  <si>
    <r>
      <rPr>
        <b/>
        <sz val="14"/>
        <color indexed="30"/>
        <rFont val="Calibri"/>
        <family val="2"/>
      </rPr>
      <t>Strips</t>
    </r>
    <r>
      <rPr>
        <sz val="14"/>
        <color indexed="30"/>
        <rFont val="Calibri"/>
        <family val="2"/>
      </rPr>
      <t xml:space="preserve"> the curve for Bview</t>
    </r>
  </si>
  <si>
    <r>
      <t xml:space="preserve">Shows the end </t>
    </r>
    <r>
      <rPr>
        <b/>
        <sz val="14"/>
        <color indexed="30"/>
        <rFont val="Calibri"/>
        <family val="2"/>
      </rPr>
      <t>result</t>
    </r>
    <r>
      <rPr>
        <sz val="14"/>
        <color indexed="30"/>
        <rFont val="Calibri"/>
        <family val="2"/>
      </rPr>
      <t xml:space="preserve"> for viewing </t>
    </r>
  </si>
  <si>
    <r>
      <rPr>
        <sz val="14"/>
        <rFont val="Calibri"/>
        <family val="2"/>
      </rPr>
      <t>Step 1</t>
    </r>
    <r>
      <rPr>
        <sz val="14"/>
        <color indexed="30"/>
        <rFont val="Calibri"/>
        <family val="2"/>
      </rPr>
      <t xml:space="preserve">: The BCurve (Bloomberg curve) formula </t>
    </r>
  </si>
  <si>
    <r>
      <rPr>
        <sz val="14"/>
        <rFont val="Calibri"/>
        <family val="2"/>
      </rPr>
      <t>Step 2:</t>
    </r>
    <r>
      <rPr>
        <sz val="14"/>
        <color indexed="30"/>
        <rFont val="Calibri"/>
        <family val="2"/>
      </rPr>
      <t xml:space="preserve"> The BCurveStrip (Bloomberg curve stripping) formula </t>
    </r>
  </si>
  <si>
    <t xml:space="preserve">                         =BCurveFwd($B$31,"zc.bid","tenor",B37:B43,"term",C35:G35)</t>
  </si>
  <si>
    <t>=BDP($D61,"REPO_FORWARD_YLD","REPO_TERM_DATE",I$56,$B$51:$B$53,$I$51:$I$53)</t>
  </si>
  <si>
    <t>=BDP($D61,"REPO_FORWARD_PRICE","REPO_TERM_DATE",I$56,$B$51:$B$53,$I$51:$I$53)</t>
  </si>
  <si>
    <t>Live Help via Excel and Help pages in Bloomberg</t>
  </si>
  <si>
    <t xml:space="preserve">   IRSB EUR &lt;go&gt;</t>
  </si>
  <si>
    <t xml:space="preserve">   =BDP(Q12,R$11)</t>
  </si>
  <si>
    <t>Live data</t>
  </si>
  <si>
    <t xml:space="preserve"> Your input</t>
  </si>
  <si>
    <t>Below is a STATIC data field</t>
  </si>
  <si>
    <t>Below is REAL TIME field</t>
  </si>
  <si>
    <t>=BDP($G190,H$189)</t>
  </si>
  <si>
    <t xml:space="preserve">                     … and drag/drop the object to Excel</t>
  </si>
  <si>
    <t>DBR 4 37 &lt;govt FLDS REPO &lt;go&gt;</t>
  </si>
  <si>
    <t xml:space="preserve">     =BDP($B14,C$13,$N$13:$R$13,$N14:$R14)</t>
  </si>
  <si>
    <r>
      <rPr>
        <b/>
        <sz val="14"/>
        <color indexed="30"/>
        <rFont val="Calibri"/>
        <family val="2"/>
      </rPr>
      <t>FORWARD</t>
    </r>
    <r>
      <rPr>
        <sz val="14"/>
        <color indexed="30"/>
        <rFont val="Calibri"/>
        <family val="2"/>
      </rPr>
      <t xml:space="preserve"> bond price/yield calculator for bonds given a repo rate, start price and terms</t>
    </r>
  </si>
  <si>
    <t>From  C171</t>
  </si>
  <si>
    <t>Fwd calc yld from fwd px</t>
  </si>
  <si>
    <t xml:space="preserve">                                  =BDS($B$198,"CURVE_MEMBERS","CURVE_DATE="&amp;TEXT(B199,"YYYYMMDD"),"headers=yes","dir=h)</t>
  </si>
  <si>
    <t xml:space="preserve">     =BDP($B171,D$169,$I$169:$L$169,$I171:$L171))</t>
  </si>
  <si>
    <t xml:space="preserve"> Download all securities issued by the issuer just using the equity ticker</t>
  </si>
  <si>
    <t>The BCHAIN  formula</t>
  </si>
  <si>
    <t xml:space="preserve">      =BInterpol($C$29:$C$41,$D$29:$D$41,K30,"Linear")</t>
  </si>
  <si>
    <t>=BAddPeriods($B$51,"NumberOfPeriods="&amp;E51,D51,"per="&amp;F51)</t>
  </si>
  <si>
    <t xml:space="preserve"> TE = Target calendar</t>
  </si>
  <si>
    <t>Enter CDR &lt;go&gt; 2 &lt;go&gt; and look at the</t>
  </si>
  <si>
    <t>8th column named ISO for all calendar</t>
  </si>
  <si>
    <t xml:space="preserve">   CDR &lt;go&gt; 2 &lt;go&gt;</t>
  </si>
  <si>
    <t>codes available - see picture in column K47</t>
  </si>
  <si>
    <t>codes available - see picture on right</t>
  </si>
  <si>
    <r>
      <t>Calculating periods between two dates using</t>
    </r>
    <r>
      <rPr>
        <sz val="12"/>
        <color indexed="30"/>
        <rFont val="Calibri"/>
        <family val="2"/>
      </rPr>
      <t xml:space="preserve"> multiple</t>
    </r>
    <r>
      <rPr>
        <sz val="12"/>
        <color indexed="62"/>
        <rFont val="Calibri"/>
        <family val="2"/>
      </rPr>
      <t xml:space="preserve"> </t>
    </r>
    <r>
      <rPr>
        <sz val="12"/>
        <rFont val="Calibri"/>
        <family val="2"/>
      </rPr>
      <t>calendars (see picture on right for codes_</t>
    </r>
  </si>
  <si>
    <t>Excel Templates XLTP &lt;go&gt;</t>
  </si>
  <si>
    <t>For additional repo field descriptions and nemonics: DBR 4 37  &lt;Govt&gt; FLDS REPO &lt;go&gt;  in your Bloomberg</t>
  </si>
  <si>
    <t>The home page for the Bloomberg desktop API</t>
  </si>
  <si>
    <t>Learn via Videos!</t>
  </si>
  <si>
    <t>LUN DC</t>
  </si>
  <si>
    <r>
      <t xml:space="preserve">The formula            </t>
    </r>
    <r>
      <rPr>
        <sz val="11"/>
        <color indexed="30"/>
        <rFont val="Calibri"/>
        <family val="2"/>
      </rPr>
      <t>=btoday()-7</t>
    </r>
  </si>
  <si>
    <r>
      <t xml:space="preserve">             </t>
    </r>
    <r>
      <rPr>
        <sz val="11"/>
        <color indexed="30"/>
        <rFont val="Calibri"/>
        <family val="2"/>
      </rPr>
      <t>x3</t>
    </r>
  </si>
  <si>
    <r>
      <t xml:space="preserve">b) </t>
    </r>
    <r>
      <rPr>
        <b/>
        <sz val="12"/>
        <rFont val="Calibri"/>
        <family val="2"/>
      </rPr>
      <t>Static data</t>
    </r>
    <r>
      <rPr>
        <sz val="11"/>
        <rFont val="Calibri"/>
        <family val="2"/>
      </rPr>
      <t xml:space="preserve">  i.e. duration, name of security, maturity date, etc.</t>
    </r>
  </si>
  <si>
    <r>
      <t xml:space="preserve">a) </t>
    </r>
    <r>
      <rPr>
        <b/>
        <sz val="12"/>
        <rFont val="Calibri"/>
        <family val="2"/>
      </rPr>
      <t>Live data</t>
    </r>
    <r>
      <rPr>
        <sz val="11"/>
        <rFont val="Calibri"/>
        <family val="2"/>
      </rPr>
      <t xml:space="preserve">  i.e. prices, yields, rates, etc. </t>
    </r>
  </si>
  <si>
    <t xml:space="preserve">     Note, that pressing the "Refresh" button in the Bloomberg toolbar will refresh all static data on page</t>
  </si>
  <si>
    <r>
      <t xml:space="preserve">Via </t>
    </r>
    <r>
      <rPr>
        <b/>
        <sz val="12"/>
        <rFont val="Calibri"/>
        <family val="2"/>
      </rPr>
      <t>FLDS &lt;go&gt;</t>
    </r>
    <r>
      <rPr>
        <sz val="11"/>
        <rFont val="Calibri"/>
        <family val="2"/>
      </rPr>
      <t xml:space="preserve">, e.g. SEB 2 21 &lt;Corp&gt; FLDS &lt;go&gt; or SIE GR Equity FLDS &lt;go&gt; etc. </t>
    </r>
  </si>
  <si>
    <t xml:space="preserve">   =IF(B40="","",BDP($B40,C$39))</t>
  </si>
  <si>
    <r>
      <rPr>
        <b/>
        <sz val="18"/>
        <rFont val="Calibri"/>
        <family val="2"/>
      </rPr>
      <t xml:space="preserve"> Method 1</t>
    </r>
    <r>
      <rPr>
        <sz val="18"/>
        <color indexed="30"/>
        <rFont val="Calibri"/>
        <family val="2"/>
      </rPr>
      <t xml:space="preserve">    </t>
    </r>
    <r>
      <rPr>
        <sz val="18"/>
        <rFont val="Calibri"/>
        <family val="2"/>
      </rPr>
      <t xml:space="preserve">Using Bloomberg's error substitution which </t>
    </r>
    <r>
      <rPr>
        <b/>
        <sz val="18"/>
        <rFont val="Calibri"/>
        <family val="2"/>
      </rPr>
      <t>works for the entire sheet!</t>
    </r>
  </si>
  <si>
    <t>Portfolio Fields available</t>
  </si>
  <si>
    <t>for illustration purpose</t>
  </si>
  <si>
    <t>Screen grap on right is</t>
  </si>
  <si>
    <t>Issue dt</t>
  </si>
  <si>
    <t>From M171</t>
  </si>
  <si>
    <t xml:space="preserve">(Column I-L) </t>
  </si>
  <si>
    <t xml:space="preserve">             The search only returns the bonds ID code so add your required data fields and use the regular Bloomberg syntax to obtain the data</t>
  </si>
  <si>
    <t>Download historical yield curve data</t>
  </si>
  <si>
    <t>Download historical Swap and Zero curve data</t>
  </si>
  <si>
    <t>Returns a date representing the date to which a specified time interval as been added</t>
  </si>
  <si>
    <t>Returns the number of periods between a start and end date for a specific calendar</t>
  </si>
  <si>
    <t>Shows all Bloombeerg functions available in Excel incl. description</t>
  </si>
  <si>
    <t>Includes videdo tutorials, templates and more</t>
  </si>
  <si>
    <t>Live help and where to find our Help pages</t>
  </si>
  <si>
    <t>How to locate tickers and data fields</t>
  </si>
  <si>
    <t>Easily import bulk data from certain Bloomberg fuunctions</t>
  </si>
  <si>
    <t>Premade Excel sheet for your use and Help</t>
  </si>
  <si>
    <t xml:space="preserve"> =BDP(B9,"Name")</t>
  </si>
  <si>
    <t>Enter the name of your stored search in EQS &lt;go&gt; and the stocks will appear in your spreadsheeet including your chosen columns from your search!</t>
  </si>
  <si>
    <t xml:space="preserve">   =BTP(B34,C33,"WMAVG",B29:B31,C29:C31)</t>
  </si>
  <si>
    <t xml:space="preserve">   =BTP($B48,C$47,$C$39,$B$40:$B$44,$C$40:$C$44)</t>
  </si>
  <si>
    <t xml:space="preserve">   =BCurveStrip(O30,"CurveDate=today")</t>
  </si>
  <si>
    <t xml:space="preserve">   =BCurveStrip(K30,"CurveDate="&amp;L30)</t>
  </si>
  <si>
    <t xml:space="preserve">   =BCurveStrip(G30)</t>
  </si>
  <si>
    <t xml:space="preserve">     =BView(K31,"maturity,zc."&amp;L35)</t>
  </si>
  <si>
    <t xml:space="preserve">     =BView(G31"maturity,par.bid,zc.bid")</t>
  </si>
  <si>
    <t>=BAddPeriods($AA$31,AB31,"numberofperiods="&amp;AC31,"per="&amp;AD31)</t>
  </si>
  <si>
    <t>Tip and Tricks</t>
  </si>
  <si>
    <t>Use Bloomberg data in your PowerPoint presentations and update the data easily for future presentations</t>
  </si>
  <si>
    <r>
      <t xml:space="preserve">Content </t>
    </r>
    <r>
      <rPr>
        <i/>
        <sz val="14"/>
        <color indexed="30"/>
        <rFont val="Calibri"/>
        <family val="2"/>
      </rPr>
      <t>click on the corresponding tab/sheet for information and examples</t>
    </r>
  </si>
  <si>
    <r>
      <t xml:space="preserve">Commonly used functions </t>
    </r>
    <r>
      <rPr>
        <i/>
        <sz val="14"/>
        <color indexed="30"/>
        <rFont val="Calibri"/>
        <family val="2"/>
      </rPr>
      <t>click on the corresponding tab/sheet for information and examples</t>
    </r>
  </si>
  <si>
    <r>
      <t xml:space="preserve">Other available Bloomberg functions in Excel </t>
    </r>
    <r>
      <rPr>
        <i/>
        <sz val="14"/>
        <color indexed="30"/>
        <rFont val="Calibri"/>
        <family val="2"/>
      </rPr>
      <t>click on the corresponding tab/sheet for information and examples</t>
    </r>
  </si>
  <si>
    <t>Q4 17</t>
  </si>
  <si>
    <t xml:space="preserve">Optional: Using  yield "Flags":  </t>
  </si>
  <si>
    <t xml:space="preserve"> 1 -To Maturity, 2 -To Next Call, 4 -To Next Put, 15 -To Worst, 28 -Avg Life (Par), 383 -Principal Weighted Avg Life. </t>
  </si>
  <si>
    <t>yas yld flag=1</t>
  </si>
  <si>
    <t>yas bond yld</t>
  </si>
  <si>
    <t>yas yld flag=2</t>
  </si>
  <si>
    <t>US268648AN20 Corp</t>
  </si>
  <si>
    <t>=BDP($I70,J$69)</t>
  </si>
  <si>
    <t>=BDP($I70,K$69,L70)</t>
  </si>
  <si>
    <t xml:space="preserve">                                                            </t>
  </si>
  <si>
    <t xml:space="preserve">28 -Avg Life (Par), 383 -Principal Weighted Avg Life. </t>
  </si>
  <si>
    <t xml:space="preserve"> Using  yield "Flags":   1 -To Maturity, 2 -To Next Call, 4 -To Next Put, 15 -To Worst</t>
  </si>
  <si>
    <t>=BDP($I91,J$90)</t>
  </si>
  <si>
    <t>=BDP($I91,K$90,L91)</t>
  </si>
  <si>
    <t>EC302280 Corp</t>
  </si>
  <si>
    <t>ED783809 Corp</t>
  </si>
  <si>
    <t>EI322934 Corp</t>
  </si>
  <si>
    <t>Washington DC</t>
  </si>
  <si>
    <t>SUPPLY_CHAIN_SUPPLIERS_ALL_DATA</t>
  </si>
  <si>
    <t>SGA</t>
  </si>
  <si>
    <t>Q2</t>
  </si>
  <si>
    <t>Estimate (SIE GR)</t>
  </si>
  <si>
    <t>Atos SE</t>
  </si>
  <si>
    <t>JBL US Equity</t>
  </si>
  <si>
    <t>COGS</t>
  </si>
  <si>
    <t>Q3</t>
  </si>
  <si>
    <t>Jabil Circuit Inc</t>
  </si>
  <si>
    <t>INTC US Equity</t>
  </si>
  <si>
    <t>Q1</t>
  </si>
  <si>
    <t>Intel Corp</t>
  </si>
  <si>
    <t>ARW US Equity</t>
  </si>
  <si>
    <t>Arrow Electronics Inc</t>
  </si>
  <si>
    <t>Q4</t>
  </si>
  <si>
    <t>SUPPLY_CHAIN_CUSTOMERS_ALL_DATA</t>
  </si>
  <si>
    <t>CAPEX</t>
  </si>
  <si>
    <t>Deutsche Bahn AG</t>
  </si>
  <si>
    <t>LOW US Equity</t>
  </si>
  <si>
    <t>Lowe's Cos Inc</t>
  </si>
  <si>
    <t>SIEM IN Equity</t>
  </si>
  <si>
    <t>Siemens Ltd</t>
  </si>
  <si>
    <t>SUPPLY_CHAIN_SUPPLIERS</t>
  </si>
  <si>
    <t>SUPPLY_CHAIN_CUSTOMERS</t>
  </si>
  <si>
    <t xml:space="preserve">   =BDS(B19,D19</t>
  </si>
  <si>
    <t xml:space="preserve">   =BDS(B5,D5)</t>
  </si>
  <si>
    <t xml:space="preserve">   =BDS(B12,D12</t>
  </si>
  <si>
    <t xml:space="preserve">   =BDS(B26,D26</t>
  </si>
  <si>
    <t>SIE GR Equity SPLC &lt;go&gt;</t>
  </si>
  <si>
    <t xml:space="preserve">    Note: Data may not match up as below picture is a snaptop from  April 2016</t>
  </si>
  <si>
    <t>Supply chain data for Equities</t>
  </si>
  <si>
    <t>dbr 2 2022 govt</t>
  </si>
  <si>
    <t>Reformat so dates in Excel graphs works</t>
  </si>
  <si>
    <t>DBR 2 22 govt</t>
  </si>
  <si>
    <t xml:space="preserve">     =DATEVALUE(M36)</t>
  </si>
  <si>
    <t>PX Last</t>
  </si>
  <si>
    <t>Last Update</t>
  </si>
  <si>
    <t>=BChain(H12,"Bonds","CPN &gt; 3","SortBy","AMT_OUTSTANDING(CURRENCY=USD)","SortOrder","Desc"</t>
  </si>
  <si>
    <t>=BDP($H13,J$12)</t>
  </si>
  <si>
    <r>
      <t xml:space="preserve">Free premade sheets in our </t>
    </r>
    <r>
      <rPr>
        <b/>
        <sz val="22"/>
        <color indexed="30"/>
        <rFont val="Calibri"/>
        <family val="2"/>
      </rPr>
      <t>Template Library</t>
    </r>
    <r>
      <rPr>
        <sz val="18"/>
        <rFont val="Calibri"/>
        <family val="2"/>
      </rPr>
      <t xml:space="preserve"> in Excel or via</t>
    </r>
    <r>
      <rPr>
        <b/>
        <sz val="18"/>
        <rFont val="Calibri"/>
        <family val="2"/>
      </rPr>
      <t xml:space="preserve"> </t>
    </r>
    <r>
      <rPr>
        <b/>
        <sz val="22"/>
        <color indexed="30"/>
        <rFont val="Calibri"/>
        <family val="2"/>
      </rPr>
      <t>XLTP &lt;go&gt;</t>
    </r>
    <r>
      <rPr>
        <sz val="18"/>
        <rFont val="Calibri"/>
        <family val="2"/>
      </rPr>
      <t xml:space="preserve">        </t>
    </r>
    <r>
      <rPr>
        <b/>
        <sz val="16"/>
        <color indexed="17"/>
        <rFont val="Calibri"/>
        <family val="2"/>
      </rPr>
      <t/>
    </r>
  </si>
  <si>
    <r>
      <t xml:space="preserve">   </t>
    </r>
    <r>
      <rPr>
        <b/>
        <sz val="20"/>
        <color indexed="17"/>
        <rFont val="Calibri"/>
        <family val="2"/>
      </rPr>
      <t>LIVE help</t>
    </r>
    <r>
      <rPr>
        <sz val="16"/>
        <rFont val="Calibri"/>
        <family val="2"/>
      </rPr>
      <t xml:space="preserve"> in Excel (or via the terminal by pressing F1 twice) </t>
    </r>
  </si>
  <si>
    <t xml:space="preserve">     XLTP &lt;go&gt; to access Library of free pre-built Excel template  in Bloomberg</t>
  </si>
  <si>
    <r>
      <t xml:space="preserve">      </t>
    </r>
    <r>
      <rPr>
        <b/>
        <sz val="18"/>
        <color indexed="30"/>
        <rFont val="Calibri"/>
        <family val="2"/>
      </rPr>
      <t xml:space="preserve">Free premade spreadsheet by Bloomberg </t>
    </r>
  </si>
  <si>
    <t xml:space="preserve">         =BDP(B134,"Name")</t>
  </si>
  <si>
    <t>AM393178 Corp</t>
  </si>
  <si>
    <t>EK696187 Corp</t>
  </si>
  <si>
    <t>JV826370 Corp</t>
  </si>
  <si>
    <t>AM261260 Corp</t>
  </si>
  <si>
    <t>EJ506625 Corp</t>
  </si>
  <si>
    <t>EK037802 Corp</t>
  </si>
  <si>
    <t>EK684154 Corp</t>
  </si>
  <si>
    <t>JV503423 Corp</t>
  </si>
  <si>
    <t>AL997549 Corp</t>
  </si>
  <si>
    <r>
      <t xml:space="preserve">              </t>
    </r>
    <r>
      <rPr>
        <i/>
        <sz val="11"/>
        <rFont val="Calibri"/>
        <family val="2"/>
      </rPr>
      <t xml:space="preserve"> * If an error message occur then it's due to Bond been issued </t>
    </r>
    <r>
      <rPr>
        <i/>
        <u/>
        <sz val="11"/>
        <rFont val="Calibri"/>
        <family val="2"/>
      </rPr>
      <t>after</t>
    </r>
    <r>
      <rPr>
        <i/>
        <sz val="11"/>
        <rFont val="Calibri"/>
        <family val="2"/>
      </rPr>
      <t>historical date selected</t>
    </r>
  </si>
  <si>
    <t>=BDP($C86,D$83)</t>
  </si>
  <si>
    <t>=BDS($C$81,$C$82,$C$83,$C$84)</t>
  </si>
  <si>
    <t>=BDS(B80,B81,B82,B83)</t>
  </si>
  <si>
    <t xml:space="preserve">      =BDH($C86,G$83,$F$81,$F$81))</t>
  </si>
  <si>
    <t xml:space="preserve">   =BDH($C86,F$83,$F$81,$F$81))</t>
  </si>
  <si>
    <t>HPQ US Equity</t>
  </si>
  <si>
    <t>HP Inc</t>
  </si>
  <si>
    <t>AIR FP Equity</t>
  </si>
  <si>
    <t>Airbus SE</t>
  </si>
  <si>
    <t>DBK GR equity</t>
  </si>
  <si>
    <t>02/20/17 09:30:00AM</t>
  </si>
  <si>
    <t>02/20/17 11:30:00AM</t>
  </si>
  <si>
    <t xml:space="preserve">      If you do not see any data then please adjust the date and/or time frame</t>
  </si>
  <si>
    <t>SERIAL_SPOT_FRA</t>
  </si>
  <si>
    <t>Refresh the page to view data</t>
  </si>
  <si>
    <t>AM205932 Corp</t>
  </si>
  <si>
    <t>EI530215 Corp</t>
  </si>
  <si>
    <r>
      <t xml:space="preserve">The  =BMATRIX </t>
    </r>
    <r>
      <rPr>
        <sz val="11"/>
        <color indexed="30"/>
        <rFont val="Calibri"/>
        <family val="2"/>
      </rPr>
      <t>automatically returns a matrix given a single formulae &amp; lets up update a custom list of securities automatically given a custom time</t>
    </r>
  </si>
  <si>
    <t xml:space="preserve">     =BMatrix(B11:B13,"px last,px volume,pe ratio","securities=true","headers=true")</t>
  </si>
  <si>
    <t>PX_VOLUME</t>
  </si>
  <si>
    <t>PE_RATIO</t>
  </si>
  <si>
    <t xml:space="preserve">        </t>
  </si>
  <si>
    <t>Create a matrix automatically and also price securities automatically given a custom set time</t>
  </si>
  <si>
    <t>=INDEX($C$50:$C$67,MATCH(H50,$C$50:$C$67,1),1)</t>
  </si>
  <si>
    <t>=INDEX($D$50:$D$67,MATCH(I50,$C$50:$C$67,0),1)</t>
  </si>
  <si>
    <t>=INDEX($C$50:$C$67,MATCH($I50,$C$50:$C$67,0)+1)</t>
  </si>
  <si>
    <t>=INDEX($D$50:$D$67,MATCH($I50,$C$50:$C$67,0)+1)</t>
  </si>
  <si>
    <t xml:space="preserve">=BRB(B12,B13:E13,B14,C14,B15)
</t>
  </si>
  <si>
    <t>Automatically makes a matrix given your securities</t>
  </si>
  <si>
    <t>bayn gr equity</t>
  </si>
  <si>
    <t>BAYN GR Equity</t>
  </si>
  <si>
    <t>=BMatrix(B26:B28,"px last,px volume,pe ratio,time","headers=true","snapshot="&amp;B24)</t>
  </si>
  <si>
    <t xml:space="preserve">       =BDP(B26,"security name")</t>
  </si>
  <si>
    <t>HSBA LN equity</t>
  </si>
  <si>
    <r>
      <t xml:space="preserve">Set local time you want an update; captures the first update just </t>
    </r>
    <r>
      <rPr>
        <b/>
        <sz val="12"/>
        <color theme="1"/>
        <rFont val="Calibri"/>
        <family val="2"/>
        <scheme val="minor"/>
      </rPr>
      <t xml:space="preserve">after </t>
    </r>
    <r>
      <rPr>
        <sz val="12"/>
        <color theme="1"/>
        <rFont val="Calibri"/>
        <family val="2"/>
        <scheme val="minor"/>
      </rPr>
      <t xml:space="preserve">time set in B24. </t>
    </r>
    <r>
      <rPr>
        <b/>
        <sz val="12"/>
        <color theme="1"/>
        <rFont val="Calibri"/>
        <family val="2"/>
        <scheme val="minor"/>
      </rPr>
      <t>For exchange traded products observe Exchange trading hours!</t>
    </r>
  </si>
  <si>
    <t>= BMATRIX  Snapshot</t>
  </si>
  <si>
    <t>TIME</t>
  </si>
  <si>
    <t>14:40:00</t>
  </si>
  <si>
    <t>to show the name of the securities</t>
  </si>
  <si>
    <t>Using the regular =BDP formula</t>
  </si>
  <si>
    <t xml:space="preserve">       =BDP($B11,"security name")</t>
  </si>
  <si>
    <r>
      <t xml:space="preserve">                                 '=BDS(I11,I12,</t>
    </r>
    <r>
      <rPr>
        <sz val="11"/>
        <color theme="9" tint="-0.499984740745262"/>
        <rFont val="Calibri"/>
        <family val="2"/>
      </rPr>
      <t>"startcol=1","endcol=2")</t>
    </r>
  </si>
  <si>
    <r>
      <t xml:space="preserve">Cash flows for a bond from the CSHF function AND incorporating how many </t>
    </r>
    <r>
      <rPr>
        <sz val="11"/>
        <color theme="9" tint="-0.499984740745262"/>
        <rFont val="Calibri"/>
        <family val="2"/>
      </rPr>
      <t>columns to show; 2 in this case</t>
    </r>
  </si>
  <si>
    <t xml:space="preserve"> Variation --&gt;</t>
  </si>
  <si>
    <t>AN404686 Corp</t>
  </si>
  <si>
    <t>LW001912 Corp</t>
  </si>
  <si>
    <t>AN612120 Corp</t>
  </si>
  <si>
    <t>Note, that single name CDS is no longer so actively</t>
  </si>
  <si>
    <t>traded and in general only the 5y CDS rate is quoted</t>
  </si>
  <si>
    <t>in the market at the time of writing this note in May 2017</t>
  </si>
  <si>
    <t>AAPL US 01/18/19 C42.5 Equity</t>
  </si>
  <si>
    <t>AAPL US 01/18/19 C47.5 Equity</t>
  </si>
  <si>
    <t>AAPL US 01/18/19 C55 Equity</t>
  </si>
  <si>
    <t>AAPL US 01/18/19 C60 Equity</t>
  </si>
  <si>
    <t>AAPL US 01/18/19 C65 Equity</t>
  </si>
  <si>
    <t>AAPL US 01/18/19 C70 Equity</t>
  </si>
  <si>
    <t>AAPL US 01/18/19 C75 Equity</t>
  </si>
  <si>
    <t>AAPL US 01/18/19 C80 Equity</t>
  </si>
  <si>
    <t>AAPL US 01/18/19 C85 Equity</t>
  </si>
  <si>
    <t>AAPL US 01/18/19 C90 Equity</t>
  </si>
  <si>
    <t>AAPL US 01/18/19 C95 Equity</t>
  </si>
  <si>
    <t>AAPL US 01/18/19 C97.5 Equity</t>
  </si>
  <si>
    <t>AAPL US 01/18/19 C100 Equity</t>
  </si>
  <si>
    <t>AAPL US 01/18/19 C105 Equity</t>
  </si>
  <si>
    <t>AAPL US 01/18/19 C110 Equity</t>
  </si>
  <si>
    <t>AAPL US 01/18/19 C115 Equity</t>
  </si>
  <si>
    <t>AAPL US 01/18/19 C120 Equity</t>
  </si>
  <si>
    <t>AAPL US 01/18/19 C125 Equity</t>
  </si>
  <si>
    <t>AAPL US 01/18/19 C130 Equity</t>
  </si>
  <si>
    <t>AAPL US 01/18/19 C135 Equity</t>
  </si>
  <si>
    <t>AAPL US 01/18/19 C140 Equity</t>
  </si>
  <si>
    <t>AAPL US 01/18/19 C145 Equity</t>
  </si>
  <si>
    <t>AAPL US 01/18/19 C150 Equity</t>
  </si>
  <si>
    <t>AAPL US 01/18/19 C155 Equity</t>
  </si>
  <si>
    <t>AAPL US 01/18/19 C160 Equity</t>
  </si>
  <si>
    <t>AAPL US 01/18/19 C165 Equity</t>
  </si>
  <si>
    <t>AAPL US 01/18/19 C170 Equity</t>
  </si>
  <si>
    <t>AAPL US 01/18/19 C175 Equity</t>
  </si>
  <si>
    <t>AAPL US 01/18/19 C180 Equity</t>
  </si>
  <si>
    <t>AAPL US 01/18/19 C185 Equity</t>
  </si>
  <si>
    <t>AAPL US 01/18/19 C190 Equity</t>
  </si>
  <si>
    <t>AAPL US 01/18/19 C195 Equity</t>
  </si>
  <si>
    <t>AAPL US 01/18/19 C200 Equity</t>
  </si>
  <si>
    <t>AAPL US 01/18/19 C205 Equity</t>
  </si>
  <si>
    <t>AAPL US 01/18/19 C210 Equity</t>
  </si>
  <si>
    <t>AAPL US 01/18/19 C215 Equity</t>
  </si>
  <si>
    <t>AAPL US 01/18/19 C220 Equity</t>
  </si>
  <si>
    <t>AAPL US 01/18/19 C225 Equity</t>
  </si>
  <si>
    <t>AAPL US 01/18/19 C230 Equity</t>
  </si>
  <si>
    <t>AAPL US 01/18/19 C235 Equity</t>
  </si>
  <si>
    <t>AAPL US 01/18/19 C240 Equity</t>
  </si>
  <si>
    <t>AAPL US 01/18/19 C245 Equity</t>
  </si>
  <si>
    <t>AAPL US 01/18/19 C250 Equity</t>
  </si>
  <si>
    <t>AAPL US 01/18/19 P42.5 Equity</t>
  </si>
  <si>
    <t>AAPL US 01/18/19 P47.5 Equity</t>
  </si>
  <si>
    <t>AAPL US 01/18/19 P55 Equity</t>
  </si>
  <si>
    <t>AAPL US 01/18/19 P60 Equity</t>
  </si>
  <si>
    <t>AAPL US 01/18/19 P65 Equity</t>
  </si>
  <si>
    <t>AAPL US 01/18/19 P70 Equity</t>
  </si>
  <si>
    <t>AAPL US 01/18/19 P75 Equity</t>
  </si>
  <si>
    <t>AAPL US 01/18/19 P80 Equity</t>
  </si>
  <si>
    <t>AAPL US 01/18/19 P85 Equity</t>
  </si>
  <si>
    <t>AAPL US 01/18/19 P90 Equity</t>
  </si>
  <si>
    <t>AAPL US 01/18/19 P95 Equity</t>
  </si>
  <si>
    <t>AAPL US 01/18/19 P97.5 Equity</t>
  </si>
  <si>
    <t>AAPL US 01/18/19 P100 Equity</t>
  </si>
  <si>
    <t>AAPL US 01/18/19 P105 Equity</t>
  </si>
  <si>
    <t>AAPL US 01/18/19 P110 Equity</t>
  </si>
  <si>
    <t>AAPL US 01/18/19 P115 Equity</t>
  </si>
  <si>
    <t>AAPL US 01/18/19 P120 Equity</t>
  </si>
  <si>
    <t>AAPL US 01/18/19 P125 Equity</t>
  </si>
  <si>
    <t>AAPL US 01/18/19 P130 Equity</t>
  </si>
  <si>
    <t>AAPL US 01/18/19 P135 Equity</t>
  </si>
  <si>
    <t>AAPL US 01/18/19 P140 Equity</t>
  </si>
  <si>
    <t>AAPL US 01/18/19 P145 Equity</t>
  </si>
  <si>
    <t>AAPL US 01/18/19 P150 Equity</t>
  </si>
  <si>
    <t>AAPL US 01/18/19 P155 Equity</t>
  </si>
  <si>
    <t>AAPL US 01/18/19 P160 Equity</t>
  </si>
  <si>
    <t>AAPL US 01/18/19 P165 Equity</t>
  </si>
  <si>
    <t>AAPL US 01/18/19 P170 Equity</t>
  </si>
  <si>
    <t>AAPL US 01/18/19 P175 Equity</t>
  </si>
  <si>
    <t>AAPL US 01/18/19 P180 Equity</t>
  </si>
  <si>
    <t>AAPL US 01/18/19 P185 Equity</t>
  </si>
  <si>
    <t>AAPL US 01/18/19 P190 Equity</t>
  </si>
  <si>
    <t>AAPL US 01/18/19 P195 Equity</t>
  </si>
  <si>
    <t>AAPL US 01/18/19 P200 Equity</t>
  </si>
  <si>
    <t>AAPL US 01/18/19 P205 Equity</t>
  </si>
  <si>
    <t>AAPL US 01/18/19 P210 Equity</t>
  </si>
  <si>
    <t>AAPL US 01/18/19 P215 Equity</t>
  </si>
  <si>
    <t>AAPL US 01/18/19 P220 Equity</t>
  </si>
  <si>
    <t>AAPL US 01/18/19 P225 Equity</t>
  </si>
  <si>
    <t>AAPL US 01/18/19 P230 Equity</t>
  </si>
  <si>
    <t>AAPL US 01/18/19 P235 Equity</t>
  </si>
  <si>
    <t>AAPL US 01/18/19 P240 Equity</t>
  </si>
  <si>
    <t>AAPL US 01/18/19 P245 Equity</t>
  </si>
  <si>
    <t>AAPL US 01/18/19 P250 Equity</t>
  </si>
  <si>
    <t>2016A CF (SIE GR)</t>
  </si>
  <si>
    <t>Calculate averages, standard deviation, volatility, etc,  without having to download the historical prices</t>
  </si>
  <si>
    <t>CDR=EN DE</t>
  </si>
  <si>
    <t>CBIN</t>
  </si>
  <si>
    <t>WCC US Equity</t>
  </si>
  <si>
    <t>WESCO International Inc</t>
  </si>
  <si>
    <t>Q1 18</t>
  </si>
  <si>
    <t>Q2 18</t>
  </si>
  <si>
    <t>Q3 18</t>
  </si>
  <si>
    <t>AN666303 Corp</t>
  </si>
  <si>
    <t>AN420309 Corp</t>
  </si>
  <si>
    <t>JK934241 Corp</t>
  </si>
  <si>
    <t>AN402999 Corp</t>
  </si>
  <si>
    <t>EI249830 Corp</t>
  </si>
  <si>
    <t>AM796801 Corp</t>
  </si>
  <si>
    <t>EK783758 Corp</t>
  </si>
  <si>
    <t>JK298261 Corp</t>
  </si>
  <si>
    <t>AM713129 Corp</t>
  </si>
  <si>
    <t>EJ213627 Corp</t>
  </si>
  <si>
    <t>AM850328 Corp</t>
  </si>
  <si>
    <t>AM766737 Corp</t>
  </si>
  <si>
    <t>AN751153 Corp</t>
  </si>
  <si>
    <t>DENERG DC</t>
  </si>
  <si>
    <t>NETS DC</t>
  </si>
  <si>
    <t>through the use of advanced information technology. The Company's solutions</t>
  </si>
  <si>
    <t>UNITED SERVICES AUTO</t>
  </si>
  <si>
    <t>San Antonio</t>
  </si>
  <si>
    <t>STANDARD LIFE PLC</t>
  </si>
  <si>
    <t>Edinburgh</t>
  </si>
  <si>
    <t>AVIVA GROUP</t>
  </si>
  <si>
    <t>AMP LTD</t>
  </si>
  <si>
    <t>Australia</t>
  </si>
  <si>
    <t>Sydney</t>
  </si>
  <si>
    <t>NORTHWESTERN MUTUAL</t>
  </si>
  <si>
    <t>Milwaukee/Madison</t>
  </si>
  <si>
    <t>BERKSHIRE HATHAWAY S</t>
  </si>
  <si>
    <t>Omaha</t>
  </si>
  <si>
    <t>MEDICAL PROTECTIVE C</t>
  </si>
  <si>
    <t>Indianapolis</t>
  </si>
  <si>
    <t>GEICO INDEMNITY COMP</t>
  </si>
  <si>
    <t>GEICO ADVANTAGE INS</t>
  </si>
  <si>
    <t>AEGON NV</t>
  </si>
  <si>
    <t>AP115404 Corp</t>
  </si>
  <si>
    <t>AU736870 Corp</t>
  </si>
  <si>
    <t>EC830062 Corp</t>
  </si>
  <si>
    <t>EG120904 Corp</t>
  </si>
  <si>
    <t>EJ135811 Corp</t>
  </si>
  <si>
    <t>AAPL US 10/19/18 C5 Equity</t>
  </si>
  <si>
    <t>AAPL US 10/19/18 C7.5 Equity</t>
  </si>
  <si>
    <t>AAPL US 10/19/18 C10 Equity</t>
  </si>
  <si>
    <t>AAPL US 10/19/18 C12.5 Equity</t>
  </si>
  <si>
    <t>AAPL US 10/19/18 C15 Equity</t>
  </si>
  <si>
    <t>AAPL US 10/19/18 C17.5 Equity</t>
  </si>
  <si>
    <t>AAPL US 10/19/18 C20 Equity</t>
  </si>
  <si>
    <t>AAPL US 10/19/18 C22.5 Equity</t>
  </si>
  <si>
    <t>AAPL US 10/19/18 C25 Equity</t>
  </si>
  <si>
    <t>AAPL US 10/19/18 C30 Equity</t>
  </si>
  <si>
    <t>AAPL US 10/19/18 C35 Equity</t>
  </si>
  <si>
    <t>AAPL US 10/19/18 C40 Equity</t>
  </si>
  <si>
    <t>AAPL US 10/19/18 C45 Equity</t>
  </si>
  <si>
    <t>AAPL US 10/19/18 C50 Equity</t>
  </si>
  <si>
    <t>AAPL US 10/19/18 C55 Equity</t>
  </si>
  <si>
    <t>AAPL US 10/19/18 C60 Equity</t>
  </si>
  <si>
    <t>AAPL US 10/19/18 C65 Equity</t>
  </si>
  <si>
    <t>AAPL US 10/19/18 C70 Equity</t>
  </si>
  <si>
    <t>AAPL US 10/19/18 C75 Equity</t>
  </si>
  <si>
    <t>AAPL US 10/19/18 C80 Equity</t>
  </si>
  <si>
    <t>AAPL US 10/19/18 C85 Equity</t>
  </si>
  <si>
    <t>AAPL US 10/19/18 C90 Equity</t>
  </si>
  <si>
    <t>AAPL US 10/19/18 C95 Equity</t>
  </si>
  <si>
    <t>AAPL US 10/19/18 C100 Equity</t>
  </si>
  <si>
    <t>AAPL US 10/19/18 C105 Equity</t>
  </si>
  <si>
    <t>AAPL US 10/19/18 C110 Equity</t>
  </si>
  <si>
    <t>AAPL US 10/19/18 C115 Equity</t>
  </si>
  <si>
    <t>AAPL US 10/19/18 C120 Equity</t>
  </si>
  <si>
    <t>AAPL US 10/19/18 C125 Equity</t>
  </si>
  <si>
    <t>AAPL US 10/19/18 C130 Equity</t>
  </si>
  <si>
    <t>AAPL US 10/19/18 C135 Equity</t>
  </si>
  <si>
    <t>AAPL US 10/19/18 C140 Equity</t>
  </si>
  <si>
    <t>AAPL US 10/19/18 C145 Equity</t>
  </si>
  <si>
    <t>AAPL US 10/19/18 C150 Equity</t>
  </si>
  <si>
    <t>AAPL US 10/19/18 C155 Equity</t>
  </si>
  <si>
    <t>AAPL US 10/19/18 C160 Equity</t>
  </si>
  <si>
    <t>AAPL US 10/19/18 C165 Equity</t>
  </si>
  <si>
    <t>AAPL US 10/19/18 C170 Equity</t>
  </si>
  <si>
    <t>AAPL US 10/19/18 C175 Equity</t>
  </si>
  <si>
    <t>AAPL US 10/19/18 C180 Equity</t>
  </si>
  <si>
    <t>AAPL US 10/19/18 C185 Equity</t>
  </si>
  <si>
    <t>AAPL US 10/19/18 C187.5 Equity</t>
  </si>
  <si>
    <t>AAPL US 10/19/18 C190 Equity</t>
  </si>
  <si>
    <t>AAPL US 10/19/18 C192.5 Equity</t>
  </si>
  <si>
    <t>AAPL US 10/19/18 C195 Equity</t>
  </si>
  <si>
    <t>AAPL US 10/19/18 C197.5 Equity</t>
  </si>
  <si>
    <t>AAPL US 10/19/18 C200 Equity</t>
  </si>
  <si>
    <t>AAPL US 10/19/18 C202.5 Equity</t>
  </si>
  <si>
    <t>AAPL US 10/19/18 C205 Equity</t>
  </si>
  <si>
    <t>AAPL US 10/19/18 C207.5 Equity</t>
  </si>
  <si>
    <t>AAPL US 10/19/18 C210 Equity</t>
  </si>
  <si>
    <t>AAPL US 10/19/18 C212.5 Equity</t>
  </si>
  <si>
    <t>AAPL US 10/19/18 C215 Equity</t>
  </si>
  <si>
    <t>AAPL US 10/19/18 C217.5 Equity</t>
  </si>
  <si>
    <t>AAPL US 10/19/18 C220 Equity</t>
  </si>
  <si>
    <t>AAPL US 10/19/18 C222.5 Equity</t>
  </si>
  <si>
    <t>AAPL US 10/19/18 C225 Equity</t>
  </si>
  <si>
    <t>AAPL US 10/19/18 C227.5 Equity</t>
  </si>
  <si>
    <t>AAPL US 10/19/18 C230 Equity</t>
  </si>
  <si>
    <t>AAPL US 10/19/18 C232.5 Equity</t>
  </si>
  <si>
    <t>AAPL US 10/19/18 C235 Equity</t>
  </si>
  <si>
    <t>AAPL US 10/19/18 C237.5 Equity</t>
  </si>
  <si>
    <t>AAPL US 10/19/18 C240 Equity</t>
  </si>
  <si>
    <t>AAPL US 10/19/18 C242.5 Equity</t>
  </si>
  <si>
    <t>AAPL US 10/19/18 C245 Equity</t>
  </si>
  <si>
    <t>AAPL US 10/19/18 C247.5 Equity</t>
  </si>
  <si>
    <t>AAPL US 10/19/18 C250 Equity</t>
  </si>
  <si>
    <t>AAPL US 10/19/18 C252.5 Equity</t>
  </si>
  <si>
    <t>AAPL US 10/19/18 C255 Equity</t>
  </si>
  <si>
    <t>AAPL US 10/19/18 C260 Equity</t>
  </si>
  <si>
    <t>AAPL US 10/19/18 C265 Equity</t>
  </si>
  <si>
    <t>AAPL US 10/19/18 C270 Equity</t>
  </si>
  <si>
    <t>AAPL US 10/19/18 C275 Equity</t>
  </si>
  <si>
    <t>AAPL US 10/19/18 C280 Equity</t>
  </si>
  <si>
    <t>AAPL US 10/19/18 C285 Equity</t>
  </si>
  <si>
    <t>AAPL US 10/19/18 C290 Equity</t>
  </si>
  <si>
    <t>AAPL US 10/19/18 C295 Equity</t>
  </si>
  <si>
    <t>AAPL US 10/19/18 C300 Equity</t>
  </si>
  <si>
    <t>AAPL US 10/19/18 C305 Equity</t>
  </si>
  <si>
    <t>AAPL US 10/19/18 C310 Equity</t>
  </si>
  <si>
    <t>AAPL US 10/19/18 C315 Equity</t>
  </si>
  <si>
    <t>AAPL US 10/19/18 C320 Equity</t>
  </si>
  <si>
    <t>AAPL US 10/19/18 C325 Equity</t>
  </si>
  <si>
    <t>AAPL US 10/19/18 C330 Equity</t>
  </si>
  <si>
    <t>AAPL US 10/19/18 C335 Equity</t>
  </si>
  <si>
    <t>AAPL US 10/19/18 C340 Equity</t>
  </si>
  <si>
    <t>AAPL US 10/19/18 P2.5 Equity</t>
  </si>
  <si>
    <t>AAPL US 10/19/18 P5 Equity</t>
  </si>
  <si>
    <t>AAPL US 10/19/18 P7.5 Equity</t>
  </si>
  <si>
    <t>AAPL US 10/19/18 P10 Equity</t>
  </si>
  <si>
    <t>AAPL US 10/19/18 P12.5 Equity</t>
  </si>
  <si>
    <t>AAPL US 10/19/18 P15 Equity</t>
  </si>
  <si>
    <t>AAPL US 10/19/18 P17.5 Equity</t>
  </si>
  <si>
    <t>AAPL US 10/19/18 P20 Equity</t>
  </si>
  <si>
    <t>AAPL US 10/19/18 P22.5 Equity</t>
  </si>
  <si>
    <t>AAPL US 10/19/18 P25 Equity</t>
  </si>
  <si>
    <t>AAPL US 10/19/18 P30 Equity</t>
  </si>
  <si>
    <t>AAPL US 10/19/18 P35 Equity</t>
  </si>
  <si>
    <t>AAPL US 10/19/18 P40 Equity</t>
  </si>
  <si>
    <t>AAPL US 10/19/18 P45 Equity</t>
  </si>
  <si>
    <t>AAPL US 10/19/18 P50 Equity</t>
  </si>
  <si>
    <t>AAPL US 10/19/18 P55 Equity</t>
  </si>
  <si>
    <t>AAPL US 10/19/18 P60 Equity</t>
  </si>
  <si>
    <t>AAPL US 10/19/18 P65 Equity</t>
  </si>
  <si>
    <t>AAPL US 10/19/18 P70 Equity</t>
  </si>
  <si>
    <t>AAPL US 10/19/18 P75 Equity</t>
  </si>
  <si>
    <t>AAPL US 10/19/18 P80 Equity</t>
  </si>
  <si>
    <t>AAPL US 10/19/18 P85 Equity</t>
  </si>
  <si>
    <t>AAPL US 10/19/18 P90 Equity</t>
  </si>
  <si>
    <t>AAPL US 10/19/18 P95 Equity</t>
  </si>
  <si>
    <t>AAPL US 10/19/18 P100 Equity</t>
  </si>
  <si>
    <t>AAPL US 10/19/18 P105 Equity</t>
  </si>
  <si>
    <t>AAPL US 10/19/18 P110 Equity</t>
  </si>
  <si>
    <t>AAPL US 10/19/18 P115 Equity</t>
  </si>
  <si>
    <t>AAPL US 10/19/18 P120 Equity</t>
  </si>
  <si>
    <t>AAPL US 10/19/18 P125 Equity</t>
  </si>
  <si>
    <t>AAPL US 10/19/18 P130 Equity</t>
  </si>
  <si>
    <t>AAPL US 10/19/18 P135 Equity</t>
  </si>
  <si>
    <t>AAPL US 10/19/18 P140 Equity</t>
  </si>
  <si>
    <t>AAPL US 10/19/18 P145 Equity</t>
  </si>
  <si>
    <t>AAPL US 10/19/18 P150 Equity</t>
  </si>
  <si>
    <t>AAPL US 10/19/18 P155 Equity</t>
  </si>
  <si>
    <t>AAPL US 10/19/18 P160 Equity</t>
  </si>
  <si>
    <t>AAPL US 10/19/18 P165 Equity</t>
  </si>
  <si>
    <t>AAPL US 10/19/18 P170 Equity</t>
  </si>
  <si>
    <t>AAPL US 10/19/18 P175 Equity</t>
  </si>
  <si>
    <t>AAPL US 10/19/18 P180 Equity</t>
  </si>
  <si>
    <t>AAPL US 10/19/18 P185 Equity</t>
  </si>
  <si>
    <t>AAPL US 10/19/18 P187.5 Equity</t>
  </si>
  <si>
    <t>AAPL US 10/19/18 P190 Equity</t>
  </si>
  <si>
    <t>AAPL US 10/19/18 P192.5 Equity</t>
  </si>
  <si>
    <t>AAPL US 10/19/18 P195 Equity</t>
  </si>
  <si>
    <t>AAPL US 10/19/18 P197.5 Equity</t>
  </si>
  <si>
    <t>AAPL US 10/19/18 P200 Equity</t>
  </si>
  <si>
    <t>AAPL US 10/19/18 P202.5 Equity</t>
  </si>
  <si>
    <t>AAPL US 10/19/18 P205 Equity</t>
  </si>
  <si>
    <t>AAPL US 10/19/18 P207.5 Equity</t>
  </si>
  <si>
    <t>AAPL US 10/19/18 P210 Equity</t>
  </si>
  <si>
    <t>AAPL US 10/19/18 P212.5 Equity</t>
  </si>
  <si>
    <t>AAPL US 10/19/18 P215 Equity</t>
  </si>
  <si>
    <t>AAPL US 10/19/18 P217.5 Equity</t>
  </si>
  <si>
    <t>AAPL US 10/19/18 P220 Equity</t>
  </si>
  <si>
    <t>AAPL US 10/19/18 P222.5 Equity</t>
  </si>
  <si>
    <t>AAPL US 10/19/18 P225 Equity</t>
  </si>
  <si>
    <t>AAPL US 10/19/18 P227.5 Equity</t>
  </si>
  <si>
    <t>AAPL US 10/19/18 P230 Equity</t>
  </si>
  <si>
    <t>AAPL US 10/19/18 P232.5 Equity</t>
  </si>
  <si>
    <t>AAPL US 10/19/18 P235 Equity</t>
  </si>
  <si>
    <t>AAPL US 10/19/18 P237.5 Equity</t>
  </si>
  <si>
    <t>AAPL US 10/19/18 P240 Equity</t>
  </si>
  <si>
    <t>AAPL US 10/19/18 P242.5 Equity</t>
  </si>
  <si>
    <t>AAPL US 10/19/18 P245 Equity</t>
  </si>
  <si>
    <t>AAPL US 10/19/18 P247.5 Equity</t>
  </si>
  <si>
    <t>AAPL US 10/19/18 P250 Equity</t>
  </si>
  <si>
    <t>AAPL US 10/19/18 P252.5 Equity</t>
  </si>
  <si>
    <t>AAPL US 10/19/18 P255 Equity</t>
  </si>
  <si>
    <t>AAPL US 10/19/18 P260 Equity</t>
  </si>
  <si>
    <t>AAPL US 10/19/18 P265 Equity</t>
  </si>
  <si>
    <t>AAPL US 10/19/18 P270 Equity</t>
  </si>
  <si>
    <t>AAPL US 10/19/18 P275 Equity</t>
  </si>
  <si>
    <t>AAPL US 10/19/18 P280 Equity</t>
  </si>
  <si>
    <t>AAPL US 10/19/18 P285 Equity</t>
  </si>
  <si>
    <t>AAPL US 10/19/18 P290 Equity</t>
  </si>
  <si>
    <t>AAPL US 10/19/18 P295 Equity</t>
  </si>
  <si>
    <t>AAPL US 10/19/18 P300 Equity</t>
  </si>
  <si>
    <t>AAPL US 10/19/18 P305 Equity</t>
  </si>
  <si>
    <t>AAPL US 10/19/18 P310 Equity</t>
  </si>
  <si>
    <t>AAPL US 10/19/18 P315 Equity</t>
  </si>
  <si>
    <t>AAPL US 10/19/18 P320 Equity</t>
  </si>
  <si>
    <t>AAPL US 10/19/18 P325 Equity</t>
  </si>
  <si>
    <t>AAPL US 10/19/18 P330 Equity</t>
  </si>
  <si>
    <t>AAPL US 10/19/18 P335 Equity</t>
  </si>
  <si>
    <t>AAPL US 10/19/18 P340 Equity</t>
  </si>
  <si>
    <t>AAPL US 11/16/18 C2.5 Equity</t>
  </si>
  <si>
    <t>AAPL US 11/16/18 C5 Equity</t>
  </si>
  <si>
    <t>AAPL US 11/16/18 C7.5 Equity</t>
  </si>
  <si>
    <t>AAPL US 11/16/18 C10 Equity</t>
  </si>
  <si>
    <t>AAPL US 11/16/18 C12.5 Equity</t>
  </si>
  <si>
    <t>AAPL US 11/16/18 C15 Equity</t>
  </si>
  <si>
    <t>AAPL US 11/16/18 C17.5 Equity</t>
  </si>
  <si>
    <t>AAPL US 11/16/18 C20 Equity</t>
  </si>
  <si>
    <t>AAPL US 11/16/18 C22.5 Equity</t>
  </si>
  <si>
    <t>AAPL US 11/16/18 C25 Equity</t>
  </si>
  <si>
    <t>AAPL US 11/16/18 C30 Equity</t>
  </si>
  <si>
    <t>AAPL US 11/16/18 C35 Equity</t>
  </si>
  <si>
    <t>AAPL US 11/16/18 C40 Equity</t>
  </si>
  <si>
    <t>AAPL US 11/16/18 C45 Equity</t>
  </si>
  <si>
    <t>AAPL US 11/16/18 C50 Equity</t>
  </si>
  <si>
    <t>AAPL US 11/16/18 C55 Equity</t>
  </si>
  <si>
    <t>AAPL US 11/16/18 C60 Equity</t>
  </si>
  <si>
    <t>AAPL US 11/16/18 C65 Equity</t>
  </si>
  <si>
    <t>AAPL US 11/16/18 C70 Equity</t>
  </si>
  <si>
    <t>AAPL US 11/16/18 C75 Equity</t>
  </si>
  <si>
    <t>AAPL US 11/16/18 C80 Equity</t>
  </si>
  <si>
    <t>AAPL US 11/16/18 C85 Equity</t>
  </si>
  <si>
    <t>AAPL US 11/16/18 C90 Equity</t>
  </si>
  <si>
    <t>AAPL US 11/16/18 C95 Equity</t>
  </si>
  <si>
    <t>AAPL US 11/16/18 C100 Equity</t>
  </si>
  <si>
    <t>AAPL US 11/16/18 C105 Equity</t>
  </si>
  <si>
    <t>AAPL US 11/16/18 C110 Equity</t>
  </si>
  <si>
    <t>AAPL US 11/16/18 C115 Equity</t>
  </si>
  <si>
    <t>AAPL US 11/16/18 C120 Equity</t>
  </si>
  <si>
    <t>AAPL US 11/16/18 C125 Equity</t>
  </si>
  <si>
    <t>AAPL US 11/16/18 C130 Equity</t>
  </si>
  <si>
    <t>AAPL US 11/16/18 C135 Equity</t>
  </si>
  <si>
    <t>AAPL US 11/16/18 C140 Equity</t>
  </si>
  <si>
    <t>AAPL US 11/16/18 C145 Equity</t>
  </si>
  <si>
    <t>AAPL US 11/16/18 C150 Equity</t>
  </si>
  <si>
    <t>AAPL US 11/16/18 C155 Equity</t>
  </si>
  <si>
    <t>AAPL US 11/16/18 C160 Equity</t>
  </si>
  <si>
    <t>AAPL US 11/16/18 C165 Equity</t>
  </si>
  <si>
    <t>AAPL US 11/16/18 C170 Equity</t>
  </si>
  <si>
    <t>AAPL US 11/16/18 C175 Equity</t>
  </si>
  <si>
    <t>AAPL US 11/16/18 C180 Equity</t>
  </si>
  <si>
    <t>AAPL US 11/16/18 C185 Equity</t>
  </si>
  <si>
    <t>AAPL US 11/16/18 C190 Equity</t>
  </si>
  <si>
    <t>AAPL US 11/16/18 C195 Equity</t>
  </si>
  <si>
    <t>AAPL US 11/16/18 C200 Equity</t>
  </si>
  <si>
    <t>AAPL US 11/16/18 C205 Equity</t>
  </si>
  <si>
    <t>AAPL US 11/16/18 C210 Equity</t>
  </si>
  <si>
    <t>AAPL US 11/16/18 C215 Equity</t>
  </si>
  <si>
    <t>AAPL US 11/16/18 C220 Equity</t>
  </si>
  <si>
    <t>AAPL US 11/16/18 C225 Equity</t>
  </si>
  <si>
    <t>AAPL US 11/16/18 C230 Equity</t>
  </si>
  <si>
    <t>AAPL US 11/16/18 C235 Equity</t>
  </si>
  <si>
    <t>AAPL US 11/16/18 C240 Equity</t>
  </si>
  <si>
    <t>AAPL US 11/16/18 C245 Equity</t>
  </si>
  <si>
    <t>AAPL US 11/16/18 C250 Equity</t>
  </si>
  <si>
    <t>AAPL US 11/16/18 C255 Equity</t>
  </si>
  <si>
    <t>AAPL US 11/16/18 C260 Equity</t>
  </si>
  <si>
    <t>AAPL US 11/16/18 C265 Equity</t>
  </si>
  <si>
    <t>AAPL US 11/16/18 C270 Equity</t>
  </si>
  <si>
    <t>AAPL US 11/16/18 C275 Equity</t>
  </si>
  <si>
    <t>AAPL US 11/16/18 C280 Equity</t>
  </si>
  <si>
    <t>AAPL US 11/16/18 C285 Equity</t>
  </si>
  <si>
    <t>AAPL US 11/16/18 C290 Equity</t>
  </si>
  <si>
    <t>AAPL US 11/16/18 C295 Equity</t>
  </si>
  <si>
    <t>AAPL US 11/16/18 C300 Equity</t>
  </si>
  <si>
    <t>AAPL US 11/16/18 C305 Equity</t>
  </si>
  <si>
    <t>AAPL US 11/16/18 C310 Equity</t>
  </si>
  <si>
    <t>AAPL US 11/16/18 C315 Equity</t>
  </si>
  <si>
    <t>AAPL US 11/16/18 C320 Equity</t>
  </si>
  <si>
    <t>AAPL US 11/16/18 C325 Equity</t>
  </si>
  <si>
    <t>AAPL US 11/16/18 C330 Equity</t>
  </si>
  <si>
    <t>AAPL US 11/16/18 C335 Equity</t>
  </si>
  <si>
    <t>AAPL US 11/16/18 C340 Equity</t>
  </si>
  <si>
    <t>AAPL US 11/16/18 C345 Equity</t>
  </si>
  <si>
    <t>AAPL US 11/16/18 C350 Equity</t>
  </si>
  <si>
    <t>AAPL US 11/16/18 C355 Equity</t>
  </si>
  <si>
    <t>AAPL US 11/16/18 C360 Equity</t>
  </si>
  <si>
    <t>AAPL US 11/16/18 C365 Equity</t>
  </si>
  <si>
    <t>AAPL US 11/16/18 C370 Equity</t>
  </si>
  <si>
    <t>AAPL US 11/16/18 C375 Equity</t>
  </si>
  <si>
    <t>AAPL US 11/16/18 C380 Equity</t>
  </si>
  <si>
    <t>AAPL US 11/16/18 C385 Equity</t>
  </si>
  <si>
    <t>AAPL US 11/16/18 C390 Equity</t>
  </si>
  <si>
    <t>AAPL US 11/16/18 C395 Equity</t>
  </si>
  <si>
    <t>AAPL US 11/16/18 C400 Equity</t>
  </si>
  <si>
    <t>AAPL US 11/16/18 C405 Equity</t>
  </si>
  <si>
    <t>AAPL US 11/16/18 C410 Equity</t>
  </si>
  <si>
    <t>AAPL US 11/16/18 C415 Equity</t>
  </si>
  <si>
    <t>AAPL US 11/16/18 C420 Equity</t>
  </si>
  <si>
    <t>AAPL US 11/16/18 C425 Equity</t>
  </si>
  <si>
    <t>AAPL US 11/16/18 C430 Equity</t>
  </si>
  <si>
    <t>AAPL US 11/16/18 C435 Equity</t>
  </si>
  <si>
    <t>AAPL US 11/16/18 C440 Equity</t>
  </si>
  <si>
    <t>AAPL US 11/16/18 P2.5 Equity</t>
  </si>
  <si>
    <t>AAPL US 11/16/18 P5 Equity</t>
  </si>
  <si>
    <t>AAPL US 11/16/18 P7.5 Equity</t>
  </si>
  <si>
    <t>AAPL US 11/16/18 P10 Equity</t>
  </si>
  <si>
    <t>AAPL US 11/16/18 P12.5 Equity</t>
  </si>
  <si>
    <t>AAPL US 11/16/18 P15 Equity</t>
  </si>
  <si>
    <t>AAPL US 11/16/18 P17.5 Equity</t>
  </si>
  <si>
    <t>AAPL US 11/16/18 P20 Equity</t>
  </si>
  <si>
    <t>AAPL US 11/16/18 P22.5 Equity</t>
  </si>
  <si>
    <t>AAPL US 11/16/18 P25 Equity</t>
  </si>
  <si>
    <t>AAPL US 11/16/18 P30 Equity</t>
  </si>
  <si>
    <t>AAPL US 11/16/18 P35 Equity</t>
  </si>
  <si>
    <t>AAPL US 11/16/18 P40 Equity</t>
  </si>
  <si>
    <t>AAPL US 11/16/18 P45 Equity</t>
  </si>
  <si>
    <t>AAPL US 11/16/18 P50 Equity</t>
  </si>
  <si>
    <t>AAPL US 11/16/18 P55 Equity</t>
  </si>
  <si>
    <t>AAPL US 11/16/18 P60 Equity</t>
  </si>
  <si>
    <t>AAPL US 11/16/18 P65 Equity</t>
  </si>
  <si>
    <t>AAPL US 11/16/18 P70 Equity</t>
  </si>
  <si>
    <t>AAPL US 11/16/18 P75 Equity</t>
  </si>
  <si>
    <t>AAPL US 11/16/18 P80 Equity</t>
  </si>
  <si>
    <t>AAPL US 11/16/18 P85 Equity</t>
  </si>
  <si>
    <t>AAPL US 11/16/18 P90 Equity</t>
  </si>
  <si>
    <t>AAPL US 11/16/18 P95 Equity</t>
  </si>
  <si>
    <t>AAPL US 11/16/18 P100 Equity</t>
  </si>
  <si>
    <t>AAPL US 11/16/18 P105 Equity</t>
  </si>
  <si>
    <t>AAPL US 11/16/18 P110 Equity</t>
  </si>
  <si>
    <t>AAPL US 11/16/18 P115 Equity</t>
  </si>
  <si>
    <t>AAPL US 11/16/18 P120 Equity</t>
  </si>
  <si>
    <t>AAPL US 11/16/18 P125 Equity</t>
  </si>
  <si>
    <t>AAPL US 11/16/18 P130 Equity</t>
  </si>
  <si>
    <t>AAPL US 11/16/18 P135 Equity</t>
  </si>
  <si>
    <t>AAPL US 11/16/18 P140 Equity</t>
  </si>
  <si>
    <t>AAPL US 11/16/18 P145 Equity</t>
  </si>
  <si>
    <t>AAPL US 11/16/18 P150 Equity</t>
  </si>
  <si>
    <t>AAPL US 11/16/18 P155 Equity</t>
  </si>
  <si>
    <t>AAPL US 11/16/18 P160 Equity</t>
  </si>
  <si>
    <t>AAPL US 11/16/18 P165 Equity</t>
  </si>
  <si>
    <t>AAPL US 11/16/18 P170 Equity</t>
  </si>
  <si>
    <t>AAPL US 11/16/18 P175 Equity</t>
  </si>
  <si>
    <t>AAPL US 11/16/18 P180 Equity</t>
  </si>
  <si>
    <t>AAPL US 11/16/18 P185 Equity</t>
  </si>
  <si>
    <t>AAPL US 11/16/18 P190 Equity</t>
  </si>
  <si>
    <t>AAPL US 11/16/18 P195 Equity</t>
  </si>
  <si>
    <t>AAPL US 11/16/18 P200 Equity</t>
  </si>
  <si>
    <t>AAPL US 11/16/18 P205 Equity</t>
  </si>
  <si>
    <t>AAPL US 11/16/18 P210 Equity</t>
  </si>
  <si>
    <t>AAPL US 11/16/18 P215 Equity</t>
  </si>
  <si>
    <t>AAPL US 11/16/18 P220 Equity</t>
  </si>
  <si>
    <t>AAPL US 11/16/18 P225 Equity</t>
  </si>
  <si>
    <t>AAPL US 11/16/18 P230 Equity</t>
  </si>
  <si>
    <t>AAPL US 11/16/18 P235 Equity</t>
  </si>
  <si>
    <t>AAPL US 11/16/18 P240 Equity</t>
  </si>
  <si>
    <t>AAPL US 11/16/18 P245 Equity</t>
  </si>
  <si>
    <t>AAPL US 11/16/18 P250 Equity</t>
  </si>
  <si>
    <t>AAPL US 11/16/18 P255 Equity</t>
  </si>
  <si>
    <t>AAPL US 11/16/18 P260 Equity</t>
  </si>
  <si>
    <t>AAPL US 11/16/18 P265 Equity</t>
  </si>
  <si>
    <t>AAPL US 11/16/18 P270 Equity</t>
  </si>
  <si>
    <t>AAPL US 11/16/18 P275 Equity</t>
  </si>
  <si>
    <t>AAPL US 11/16/18 P280 Equity</t>
  </si>
  <si>
    <t>AAPL US 11/16/18 P285 Equity</t>
  </si>
  <si>
    <t>AAPL US 11/16/18 P290 Equity</t>
  </si>
  <si>
    <t>AAPL US 11/16/18 P295 Equity</t>
  </si>
  <si>
    <t>AAPL US 11/16/18 P300 Equity</t>
  </si>
  <si>
    <t>AAPL US 11/16/18 P305 Equity</t>
  </si>
  <si>
    <t>AAPL US 11/16/18 P310 Equity</t>
  </si>
  <si>
    <t>AAPL US 11/16/18 P315 Equity</t>
  </si>
  <si>
    <t>AAPL US 11/16/18 P320 Equity</t>
  </si>
  <si>
    <t>AAPL US 11/16/18 P325 Equity</t>
  </si>
  <si>
    <t>AAPL US 11/16/18 P330 Equity</t>
  </si>
  <si>
    <t>AAPL US 11/16/18 P335 Equity</t>
  </si>
  <si>
    <t>AAPL US 11/16/18 P340 Equity</t>
  </si>
  <si>
    <t>AAPL US 11/16/18 P345 Equity</t>
  </si>
  <si>
    <t>AAPL US 11/16/18 P350 Equity</t>
  </si>
  <si>
    <t>AAPL US 11/16/18 P355 Equity</t>
  </si>
  <si>
    <t>AAPL US 11/16/18 P360 Equity</t>
  </si>
  <si>
    <t>AAPL US 11/16/18 P365 Equity</t>
  </si>
  <si>
    <t>AAPL US 11/16/18 P370 Equity</t>
  </si>
  <si>
    <t>AAPL US 11/16/18 P375 Equity</t>
  </si>
  <si>
    <t>AAPL US 11/16/18 P380 Equity</t>
  </si>
  <si>
    <t>AAPL US 11/16/18 P385 Equity</t>
  </si>
  <si>
    <t>AAPL US 11/16/18 P390 Equity</t>
  </si>
  <si>
    <t>AAPL US 11/16/18 P395 Equity</t>
  </si>
  <si>
    <t>AAPL US 11/16/18 P400 Equity</t>
  </si>
  <si>
    <t>AAPL US 11/16/18 P405 Equity</t>
  </si>
  <si>
    <t>AAPL US 11/16/18 P410 Equity</t>
  </si>
  <si>
    <t>AAPL US 11/16/18 P415 Equity</t>
  </si>
  <si>
    <t>AAPL US 11/16/18 P420 Equity</t>
  </si>
  <si>
    <t>AAPL US 11/16/18 P425 Equity</t>
  </si>
  <si>
    <t>AAPL US 11/16/18 P430 Equity</t>
  </si>
  <si>
    <t>AAPL US 11/16/18 P435 Equity</t>
  </si>
  <si>
    <t>AAPL US 11/16/18 P440 Equity</t>
  </si>
  <si>
    <t>AAPL US 12/21/18 C100 Equity</t>
  </si>
  <si>
    <t>AAPL US 12/21/18 C105 Equity</t>
  </si>
  <si>
    <t>AAPL US 12/21/18 C110 Equity</t>
  </si>
  <si>
    <t>AAPL US 12/21/18 C115 Equity</t>
  </si>
  <si>
    <t>AAPL US 12/21/18 C120 Equity</t>
  </si>
  <si>
    <t>AAPL US 12/21/18 C125 Equity</t>
  </si>
  <si>
    <t>AAPL US 12/21/18 C130 Equity</t>
  </si>
  <si>
    <t>AAPL US 12/21/18 C135 Equity</t>
  </si>
  <si>
    <t>AAPL US 12/21/18 C140 Equity</t>
  </si>
  <si>
    <t>AAPL US 12/21/18 C145 Equity</t>
  </si>
  <si>
    <t>AAPL US 12/21/18 C150 Equity</t>
  </si>
  <si>
    <t>AAPL US 12/21/18 C155 Equity</t>
  </si>
  <si>
    <t>AAPL US 12/21/18 C160 Equity</t>
  </si>
  <si>
    <t>AAPL US 12/21/18 C165 Equity</t>
  </si>
  <si>
    <t>AAPL US 12/21/18 C170 Equity</t>
  </si>
  <si>
    <t>AAPL US 12/21/18 C175 Equity</t>
  </si>
  <si>
    <t>AAPL US 12/21/18 C180 Equity</t>
  </si>
  <si>
    <t>AAPL US 12/21/18 C185 Equity</t>
  </si>
  <si>
    <t>AAPL US 12/21/18 C190 Equity</t>
  </si>
  <si>
    <t>AAPL US 12/21/18 C195 Equity</t>
  </si>
  <si>
    <t>AAPL US 12/21/18 C200 Equity</t>
  </si>
  <si>
    <t>AAPL US 12/21/18 C205 Equity</t>
  </si>
  <si>
    <t>AAPL US 12/21/18 C210 Equity</t>
  </si>
  <si>
    <t>AAPL US 12/21/18 C215 Equity</t>
  </si>
  <si>
    <t>AAPL US 12/21/18 C220 Equity</t>
  </si>
  <si>
    <t>AAPL US 12/21/18 C225 Equity</t>
  </si>
  <si>
    <t>AAPL US 12/21/18 C230 Equity</t>
  </si>
  <si>
    <t>AAPL US 12/21/18 C235 Equity</t>
  </si>
  <si>
    <t>AAPL US 12/21/18 C240 Equity</t>
  </si>
  <si>
    <t>AAPL US 12/21/18 C245 Equity</t>
  </si>
  <si>
    <t>AAPL US 12/21/18 C250 Equity</t>
  </si>
  <si>
    <t>AAPL US 12/21/18 C255 Equity</t>
  </si>
  <si>
    <t>AAPL US 12/21/18 C260 Equity</t>
  </si>
  <si>
    <t>AAPL US 12/21/18 C265 Equity</t>
  </si>
  <si>
    <t>AAPL US 12/21/18 C270 Equity</t>
  </si>
  <si>
    <t>AAPL US 12/21/18 C275 Equity</t>
  </si>
  <si>
    <t>AAPL US 12/21/18 C280 Equity</t>
  </si>
  <si>
    <t>AAPL US 12/21/18 C285 Equity</t>
  </si>
  <si>
    <t>AAPL US 12/21/18 C290 Equity</t>
  </si>
  <si>
    <t>AAPL US 12/21/18 C295 Equity</t>
  </si>
  <si>
    <t>AAPL US 12/21/18 C300 Equity</t>
  </si>
  <si>
    <t>AAPL US 12/21/18 P100 Equity</t>
  </si>
  <si>
    <t>AAPL US 12/21/18 P105 Equity</t>
  </si>
  <si>
    <t>AAPL US 12/21/18 P110 Equity</t>
  </si>
  <si>
    <t>AAPL US 12/21/18 P115 Equity</t>
  </si>
  <si>
    <t>AAPL US 12/21/18 P120 Equity</t>
  </si>
  <si>
    <t>AAPL US 12/21/18 P125 Equity</t>
  </si>
  <si>
    <t>AAPL US 12/21/18 P130 Equity</t>
  </si>
  <si>
    <t>AAPL US 12/21/18 P135 Equity</t>
  </si>
  <si>
    <t>AAPL US 12/21/18 P140 Equity</t>
  </si>
  <si>
    <t>AAPL US 12/21/18 P145 Equity</t>
  </si>
  <si>
    <t>AAPL US 12/21/18 P150 Equity</t>
  </si>
  <si>
    <t>AAPL US 12/21/18 P155 Equity</t>
  </si>
  <si>
    <t>AAPL US 12/21/18 P160 Equity</t>
  </si>
  <si>
    <t>AAPL US 12/21/18 P165 Equity</t>
  </si>
  <si>
    <t>AAPL US 12/21/18 P170 Equity</t>
  </si>
  <si>
    <t>AAPL US 12/21/18 P175 Equity</t>
  </si>
  <si>
    <t>AAPL US 12/21/18 P180 Equity</t>
  </si>
  <si>
    <t>AAPL US 12/21/18 P185 Equity</t>
  </si>
  <si>
    <t>AAPL US 12/21/18 P190 Equity</t>
  </si>
  <si>
    <t>AAPL US 12/21/18 P195 Equity</t>
  </si>
  <si>
    <t>AAPL US 12/21/18 P200 Equity</t>
  </si>
  <si>
    <t>AAPL US 12/21/18 P205 Equity</t>
  </si>
  <si>
    <t>AAPL US 12/21/18 P210 Equity</t>
  </si>
  <si>
    <t>AAPL US 12/21/18 P215 Equity</t>
  </si>
  <si>
    <t>AAPL US 12/21/18 P220 Equity</t>
  </si>
  <si>
    <t>AAPL US 12/21/18 P225 Equity</t>
  </si>
  <si>
    <t>AAPL US 12/21/18 P230 Equity</t>
  </si>
  <si>
    <t>AAPL US 12/21/18 P235 Equity</t>
  </si>
  <si>
    <t>AAPL US 12/21/18 P240 Equity</t>
  </si>
  <si>
    <t>AAPL US 12/21/18 P245 Equity</t>
  </si>
  <si>
    <t>AAPL US 12/21/18 P250 Equity</t>
  </si>
  <si>
    <t>AAPL US 12/21/18 P255 Equity</t>
  </si>
  <si>
    <t>AAPL US 12/21/18 P260 Equity</t>
  </si>
  <si>
    <t>AAPL US 12/21/18 P265 Equity</t>
  </si>
  <si>
    <t>AAPL US 12/21/18 P270 Equity</t>
  </si>
  <si>
    <t>AAPL US 12/21/18 P275 Equity</t>
  </si>
  <si>
    <t>AAPL US 12/21/18 P280 Equity</t>
  </si>
  <si>
    <t>AAPL US 12/21/18 P285 Equity</t>
  </si>
  <si>
    <t>AAPL US 12/21/18 P290 Equity</t>
  </si>
  <si>
    <t>AAPL US 12/21/18 P295 Equity</t>
  </si>
  <si>
    <t>AAPL US 12/21/18 P300 Equity</t>
  </si>
  <si>
    <t>AAPL US 01/18/19 C2.5 Equity</t>
  </si>
  <si>
    <t>AAPL US 01/18/19 C5 Equity</t>
  </si>
  <si>
    <t>AAPL US 01/18/19 C7.5 Equity</t>
  </si>
  <si>
    <t>AAPL US 01/18/19 C10 Equity</t>
  </si>
  <si>
    <t>AAPL US 01/18/19 C12.5 Equity</t>
  </si>
  <si>
    <t>AAPL US 01/18/19 C15 Equity</t>
  </si>
  <si>
    <t>AAPL US 01/18/19 C17.5 Equity</t>
  </si>
  <si>
    <t>AAPL US 01/18/19 C20 Equity</t>
  </si>
  <si>
    <t>AAPL US 01/18/19 C22.5 Equity</t>
  </si>
  <si>
    <t>AAPL US 01/18/19 C25 Equity</t>
  </si>
  <si>
    <t>AAPL US 01/18/19 C30 Equity</t>
  </si>
  <si>
    <t>AAPL US 01/18/19 C35 Equity</t>
  </si>
  <si>
    <t>AAPL US 01/18/19 C40 Equity</t>
  </si>
  <si>
    <t>AAPL US 01/18/19 C45 Equity</t>
  </si>
  <si>
    <t>AAPL US 01/18/19 C50 Equity</t>
  </si>
  <si>
    <t>AAPL US 01/18/19 C255 Equity</t>
  </si>
  <si>
    <t>AAPL US 01/18/19 C260 Equity</t>
  </si>
  <si>
    <t>AAPL US 01/18/19 C265 Equity</t>
  </si>
  <si>
    <t>AAPL US 01/18/19 C270 Equity</t>
  </si>
  <si>
    <t>AAPL US 01/18/19 C275 Equity</t>
  </si>
  <si>
    <t>AAPL US 01/18/19 C280 Equity</t>
  </si>
  <si>
    <t>AAPL US 01/18/19 C285 Equity</t>
  </si>
  <si>
    <t>AAPL US 01/18/19 C290 Equity</t>
  </si>
  <si>
    <t>AAPL US 01/18/19 C295 Equity</t>
  </si>
  <si>
    <t>AAPL US 01/18/19 C300 Equity</t>
  </si>
  <si>
    <t>AAPL US 01/18/19 C305 Equity</t>
  </si>
  <si>
    <t>AAPL US 01/18/19 C310 Equity</t>
  </si>
  <si>
    <t>AAPL US 01/18/19 C315 Equity</t>
  </si>
  <si>
    <t>AAPL US 01/18/19 C320 Equity</t>
  </si>
  <si>
    <t>AAPL US 01/18/19 C325 Equity</t>
  </si>
  <si>
    <t>AAPL US 01/18/19 C330 Equity</t>
  </si>
  <si>
    <t>AAPL US 01/18/19 C335 Equity</t>
  </si>
  <si>
    <t>AAPL US 01/18/19 C340 Equity</t>
  </si>
  <si>
    <t>AAPL US 01/18/19 C345 Equity</t>
  </si>
  <si>
    <t>AAPL US 01/18/19 C350 Equity</t>
  </si>
  <si>
    <t>AAPL US 01/18/19 C355 Equity</t>
  </si>
  <si>
    <t>AAPL US 01/18/19 C360 Equity</t>
  </si>
  <si>
    <t>AAPL US 01/18/19 C365 Equity</t>
  </si>
  <si>
    <t>AAPL US 01/18/19 C370 Equity</t>
  </si>
  <si>
    <t>AAPL US 01/18/19 C375 Equity</t>
  </si>
  <si>
    <t>AAPL US 01/18/19 P2.5 Equity</t>
  </si>
  <si>
    <t>AAPL US 01/18/19 P5 Equity</t>
  </si>
  <si>
    <t>AAPL US 01/18/19 P7.5 Equity</t>
  </si>
  <si>
    <t>AAPL US 01/18/19 P10 Equity</t>
  </si>
  <si>
    <t>AAPL US 01/18/19 P12.5 Equity</t>
  </si>
  <si>
    <t>AAPL US 01/18/19 P15 Equity</t>
  </si>
  <si>
    <t>AAPL US 01/18/19 P17.5 Equity</t>
  </si>
  <si>
    <t>AAPL US 01/18/19 P20 Equity</t>
  </si>
  <si>
    <t>AAPL US 01/18/19 P22.5 Equity</t>
  </si>
  <si>
    <t>AAPL US 01/18/19 P25 Equity</t>
  </si>
  <si>
    <t>AAPL US 01/18/19 P30 Equity</t>
  </si>
  <si>
    <t>AAPL US 01/18/19 P35 Equity</t>
  </si>
  <si>
    <t>AAPL US 01/18/19 P40 Equity</t>
  </si>
  <si>
    <t>AAPL US 01/18/19 P45 Equity</t>
  </si>
  <si>
    <t>AAPL US 01/18/19 P50 Equity</t>
  </si>
  <si>
    <t>AAPL US 01/18/19 P255 Equity</t>
  </si>
  <si>
    <t>AAPL US 01/18/19 P260 Equity</t>
  </si>
  <si>
    <t>AAPL US 01/18/19 P265 Equity</t>
  </si>
  <si>
    <t>AAPL US 01/18/19 P270 Equity</t>
  </si>
  <si>
    <t>AAPL US 01/18/19 P275 Equity</t>
  </si>
  <si>
    <t>AAPL US 01/18/19 P280 Equity</t>
  </si>
  <si>
    <t>AAPL US 01/18/19 P285 Equity</t>
  </si>
  <si>
    <t>AAPL US 01/18/19 P290 Equity</t>
  </si>
  <si>
    <t>AAPL US 01/18/19 P295 Equity</t>
  </si>
  <si>
    <t>AAPL US 01/18/19 P300 Equity</t>
  </si>
  <si>
    <t>AAPL US 01/18/19 P305 Equity</t>
  </si>
  <si>
    <t>AAPL US 01/18/19 P310 Equity</t>
  </si>
  <si>
    <t>AAPL US 01/18/19 P315 Equity</t>
  </si>
  <si>
    <t>AAPL US 01/18/19 P320 Equity</t>
  </si>
  <si>
    <t>AAPL US 01/18/19 P325 Equity</t>
  </si>
  <si>
    <t>AAPL US 01/18/19 P330 Equity</t>
  </si>
  <si>
    <t>AAPL US 01/18/19 P335 Equity</t>
  </si>
  <si>
    <t>AAPL US 01/18/19 P340 Equity</t>
  </si>
  <si>
    <t>AAPL US 01/18/19 P345 Equity</t>
  </si>
  <si>
    <t>AAPL US 01/18/19 P350 Equity</t>
  </si>
  <si>
    <t>AAPL US 01/18/19 P355 Equity</t>
  </si>
  <si>
    <t>AAPL US 01/18/19 P360 Equity</t>
  </si>
  <si>
    <t>AAPL US 01/18/19 P365 Equity</t>
  </si>
  <si>
    <t>AAPL US 01/18/19 P370 Equity</t>
  </si>
  <si>
    <t>AAPL US 01/18/19 P375 Equity</t>
  </si>
  <si>
    <t>AAPL US 02/15/19 C100 Equity</t>
  </si>
  <si>
    <t>AAPL US 02/15/19 C105 Equity</t>
  </si>
  <si>
    <t>AAPL US 02/15/19 C110 Equity</t>
  </si>
  <si>
    <t>AAPL US 02/15/19 C115 Equity</t>
  </si>
  <si>
    <t>AAPL US 02/15/19 C120 Equity</t>
  </si>
  <si>
    <t>AAPL US 02/15/19 C125 Equity</t>
  </si>
  <si>
    <t>AAPL US 02/15/19 C130 Equity</t>
  </si>
  <si>
    <t>AAPL US 02/15/19 C135 Equity</t>
  </si>
  <si>
    <t>AAPL US 02/15/19 C140 Equity</t>
  </si>
  <si>
    <t>AAPL US 02/15/19 C145 Equity</t>
  </si>
  <si>
    <t>AAPL US 02/15/19 C150 Equity</t>
  </si>
  <si>
    <t>AAPL US 02/15/19 C155 Equity</t>
  </si>
  <si>
    <t>AAPL US 02/15/19 C160 Equity</t>
  </si>
  <si>
    <t>AAPL US 02/15/19 C165 Equity</t>
  </si>
  <si>
    <t>AAPL US 02/15/19 C170 Equity</t>
  </si>
  <si>
    <t>AAPL US 02/15/19 C175 Equity</t>
  </si>
  <si>
    <t>AAPL US 02/15/19 C180 Equity</t>
  </si>
  <si>
    <t>AAPL US 02/15/19 C185 Equity</t>
  </si>
  <si>
    <t>AAPL US 02/15/19 C190 Equity</t>
  </si>
  <si>
    <t>AAPL US 02/15/19 C195 Equity</t>
  </si>
  <si>
    <t>AAPL US 02/15/19 C200 Equity</t>
  </si>
  <si>
    <t>AAPL US 02/15/19 C205 Equity</t>
  </si>
  <si>
    <t>AAPL US 02/15/19 C210 Equity</t>
  </si>
  <si>
    <t>AAPL US 02/15/19 C215 Equity</t>
  </si>
  <si>
    <t>AAPL US 02/15/19 C220 Equity</t>
  </si>
  <si>
    <t>AAPL US 02/15/19 C225 Equity</t>
  </si>
  <si>
    <t>AAPL US 02/15/19 C230 Equity</t>
  </si>
  <si>
    <t>AAPL US 02/15/19 C235 Equity</t>
  </si>
  <si>
    <t>AAPL US 02/15/19 C240 Equity</t>
  </si>
  <si>
    <t>AAPL US 02/15/19 C245 Equity</t>
  </si>
  <si>
    <t>AAPL US 02/15/19 C250 Equity</t>
  </si>
  <si>
    <t>AAPL US 02/15/19 C255 Equity</t>
  </si>
  <si>
    <t>AAPL US 02/15/19 C260 Equity</t>
  </si>
  <si>
    <t>AAPL US 02/15/19 C265 Equity</t>
  </si>
  <si>
    <t>AAPL US 02/15/19 C270 Equity</t>
  </si>
  <si>
    <t>AAPL US 02/15/19 C275 Equity</t>
  </si>
  <si>
    <t>AAPL US 02/15/19 C280 Equity</t>
  </si>
  <si>
    <t>AAPL US 02/15/19 C285 Equity</t>
  </si>
  <si>
    <t>AAPL US 02/15/19 C290 Equity</t>
  </si>
  <si>
    <t>AAPL US 02/15/19 C295 Equity</t>
  </si>
  <si>
    <t>AAPL US 02/15/19 C300 Equity</t>
  </si>
  <si>
    <t>AAPL US 02/15/19 C310 Equity</t>
  </si>
  <si>
    <t>AAPL US 02/15/19 C320 Equity</t>
  </si>
  <si>
    <t>AAPL US 02/15/19 P100 Equity</t>
  </si>
  <si>
    <t>AAPL US 02/15/19 P105 Equity</t>
  </si>
  <si>
    <t>AAPL US 02/15/19 P110 Equity</t>
  </si>
  <si>
    <t>AAPL US 02/15/19 P115 Equity</t>
  </si>
  <si>
    <t>AAPL US 02/15/19 P120 Equity</t>
  </si>
  <si>
    <t>AAPL US 02/15/19 P125 Equity</t>
  </si>
  <si>
    <t>AAPL US 02/15/19 P130 Equity</t>
  </si>
  <si>
    <t>AAPL US 02/15/19 P135 Equity</t>
  </si>
  <si>
    <t>AAPL US 02/15/19 P140 Equity</t>
  </si>
  <si>
    <t>AAPL US 02/15/19 P145 Equity</t>
  </si>
  <si>
    <t>AAPL US 02/15/19 P150 Equity</t>
  </si>
  <si>
    <t>AAPL US 02/15/19 P155 Equity</t>
  </si>
  <si>
    <t>AAPL US 02/15/19 P160 Equity</t>
  </si>
  <si>
    <t>AAPL US 02/15/19 P165 Equity</t>
  </si>
  <si>
    <t>AAPL US 02/15/19 P170 Equity</t>
  </si>
  <si>
    <t>AAPL US 02/15/19 P175 Equity</t>
  </si>
  <si>
    <t>AAPL US 02/15/19 P180 Equity</t>
  </si>
  <si>
    <t>AAPL US 02/15/19 P185 Equity</t>
  </si>
  <si>
    <t>AAPL US 02/15/19 P190 Equity</t>
  </si>
  <si>
    <t>AAPL US 02/15/19 P195 Equity</t>
  </si>
  <si>
    <t>AAPL US 02/15/19 P200 Equity</t>
  </si>
  <si>
    <t>AAPL US 02/15/19 P205 Equity</t>
  </si>
  <si>
    <t>AAPL US 02/15/19 P210 Equity</t>
  </si>
  <si>
    <t>AAPL US 02/15/19 P215 Equity</t>
  </si>
  <si>
    <t>AAPL US 02/15/19 P220 Equity</t>
  </si>
  <si>
    <t>AAPL US 02/15/19 P225 Equity</t>
  </si>
  <si>
    <t>AAPL US 02/15/19 P230 Equity</t>
  </si>
  <si>
    <t>AAPL US 02/15/19 P235 Equity</t>
  </si>
  <si>
    <t>AAPL US 02/15/19 P240 Equity</t>
  </si>
  <si>
    <t>AAPL US 02/15/19 P245 Equity</t>
  </si>
  <si>
    <t>AAPL US 02/15/19 P250 Equity</t>
  </si>
  <si>
    <t>AAPL US 02/15/19 P255 Equity</t>
  </si>
  <si>
    <t>AAPL US 02/15/19 P260 Equity</t>
  </si>
  <si>
    <t>AAPL US 02/15/19 P265 Equity</t>
  </si>
  <si>
    <t>AAPL US 02/15/19 P270 Equity</t>
  </si>
  <si>
    <t>AAPL US 02/15/19 P275 Equity</t>
  </si>
  <si>
    <t>AAPL US 02/15/19 P280 Equity</t>
  </si>
  <si>
    <t>AAPL US 02/15/19 P285 Equity</t>
  </si>
  <si>
    <t>AAPL US 02/15/19 P290 Equity</t>
  </si>
  <si>
    <t>AAPL US 02/15/19 P295 Equity</t>
  </si>
  <si>
    <t>AAPL US 02/15/19 P300 Equity</t>
  </si>
  <si>
    <t>AAPL US 02/15/19 P310 Equity</t>
  </si>
  <si>
    <t>AAPL US 02/15/19 P320 Equity</t>
  </si>
  <si>
    <t>AAPL US 04/18/19 C2.5 Equity</t>
  </si>
  <si>
    <t>AAPL US 04/18/19 C5 Equity</t>
  </si>
  <si>
    <t>AAPL US 04/18/19 C7.5 Equity</t>
  </si>
  <si>
    <t>AAPL US 04/18/19 C10 Equity</t>
  </si>
  <si>
    <t>AAPL US 04/18/19 C12.5 Equity</t>
  </si>
  <si>
    <t>AAPL US 04/18/19 C15 Equity</t>
  </si>
  <si>
    <t>AAPL US 04/18/19 C17.5 Equity</t>
  </si>
  <si>
    <t>AAPL US 04/18/19 C20 Equity</t>
  </si>
  <si>
    <t>AAPL US 04/18/19 C22.5 Equity</t>
  </si>
  <si>
    <t>AAPL US 04/18/19 C25 Equity</t>
  </si>
  <si>
    <t>AAPL US 04/18/19 C30 Equity</t>
  </si>
  <si>
    <t>AAPL US 04/18/19 C35 Equity</t>
  </si>
  <si>
    <t>AAPL US 04/18/19 C40 Equity</t>
  </si>
  <si>
    <t>AAPL US 04/18/19 C45 Equity</t>
  </si>
  <si>
    <t>AAPL US 04/18/19 C50 Equity</t>
  </si>
  <si>
    <t>AAPL US 04/18/19 C55 Equity</t>
  </si>
  <si>
    <t>AAPL US 04/18/19 C60 Equity</t>
  </si>
  <si>
    <t>AAPL US 04/18/19 C65 Equity</t>
  </si>
  <si>
    <t>AAPL US 04/18/19 C70 Equity</t>
  </si>
  <si>
    <t>AAPL US 04/18/19 C75 Equity</t>
  </si>
  <si>
    <t>AAPL US 04/18/19 C80 Equity</t>
  </si>
  <si>
    <t>AAPL US 04/18/19 C85 Equity</t>
  </si>
  <si>
    <t>AAPL US 04/18/19 C90 Equity</t>
  </si>
  <si>
    <t>AAPL US 04/18/19 C95 Equity</t>
  </si>
  <si>
    <t>AAPL US 04/18/19 C100 Equity</t>
  </si>
  <si>
    <t>AAPL US 04/18/19 C105 Equity</t>
  </si>
  <si>
    <t>AAPL US 04/18/19 C110 Equity</t>
  </si>
  <si>
    <t>AAPL US 04/18/19 C115 Equity</t>
  </si>
  <si>
    <t>AAPL US 04/18/19 C120 Equity</t>
  </si>
  <si>
    <t>AAPL US 04/18/19 C125 Equity</t>
  </si>
  <si>
    <t>AAPL US 04/18/19 C130 Equity</t>
  </si>
  <si>
    <t>AAPL US 04/18/19 C135 Equity</t>
  </si>
  <si>
    <t>AAPL US 04/18/19 C140 Equity</t>
  </si>
  <si>
    <t>AAPL US 04/18/19 C145 Equity</t>
  </si>
  <si>
    <t>AAPL US 04/18/19 C150 Equity</t>
  </si>
  <si>
    <t>AAPL US 04/18/19 C155 Equity</t>
  </si>
  <si>
    <t>AAPL US 04/18/19 C160 Equity</t>
  </si>
  <si>
    <t>AAPL US 04/18/19 C165 Equity</t>
  </si>
  <si>
    <t>AAPL US 04/18/19 C170 Equity</t>
  </si>
  <si>
    <t>AAPL US 04/18/19 C175 Equity</t>
  </si>
  <si>
    <t>AAPL US 04/18/19 C180 Equity</t>
  </si>
  <si>
    <t>AAPL US 04/18/19 C185 Equity</t>
  </si>
  <si>
    <t>AAPL US 04/18/19 C190 Equity</t>
  </si>
  <si>
    <t>AAPL US 04/18/19 C195 Equity</t>
  </si>
  <si>
    <t>AAPL US 04/18/19 C200 Equity</t>
  </si>
  <si>
    <t>AAPL US 04/18/19 C205 Equity</t>
  </si>
  <si>
    <t>AAPL US 04/18/19 C210 Equity</t>
  </si>
  <si>
    <t>AAPL US 04/18/19 C215 Equity</t>
  </si>
  <si>
    <t>AAPL US 04/18/19 C220 Equity</t>
  </si>
  <si>
    <t>AAPL US 04/18/19 C225 Equity</t>
  </si>
  <si>
    <t>AAPL US 04/18/19 C230 Equity</t>
  </si>
  <si>
    <t>AAPL US 04/18/19 C235 Equity</t>
  </si>
  <si>
    <t>AAPL US 04/18/19 C240 Equity</t>
  </si>
  <si>
    <t>AAPL US 04/18/19 C245 Equity</t>
  </si>
  <si>
    <t>AAPL US 04/18/19 C250 Equity</t>
  </si>
  <si>
    <t>AAPL US 04/18/19 C255 Equity</t>
  </si>
  <si>
    <t>AAPL US 04/18/19 C260 Equity</t>
  </si>
  <si>
    <t>AAPL US 04/18/19 C265 Equity</t>
  </si>
  <si>
    <t>AAPL US 04/18/19 C270 Equity</t>
  </si>
  <si>
    <t>AAPL US 04/18/19 C275 Equity</t>
  </si>
  <si>
    <t>AAPL US 04/18/19 C280 Equity</t>
  </si>
  <si>
    <t>AAPL US 04/18/19 C285 Equity</t>
  </si>
  <si>
    <t>AAPL US 04/18/19 C290 Equity</t>
  </si>
  <si>
    <t>AAPL US 04/18/19 C295 Equity</t>
  </si>
  <si>
    <t>AAPL US 04/18/19 C300 Equity</t>
  </si>
  <si>
    <t>AAPL US 04/18/19 C305 Equity</t>
  </si>
  <si>
    <t>AAPL US 04/18/19 C310 Equity</t>
  </si>
  <si>
    <t>AAPL US 04/18/19 C315 Equity</t>
  </si>
  <si>
    <t>AAPL US 04/18/19 C320 Equity</t>
  </si>
  <si>
    <t>AAPL US 04/18/19 C325 Equity</t>
  </si>
  <si>
    <t>AAPL US 04/18/19 C330 Equity</t>
  </si>
  <si>
    <t>AAPL US 04/18/19 C335 Equity</t>
  </si>
  <si>
    <t>AAPL US 04/18/19 C340 Equity</t>
  </si>
  <si>
    <t>AAPL US 04/18/19 C345 Equity</t>
  </si>
  <si>
    <t>AAPL US 04/18/19 C350 Equity</t>
  </si>
  <si>
    <t>AAPL US 04/18/19 C355 Equity</t>
  </si>
  <si>
    <t>AAPL US 04/18/19 C360 Equity</t>
  </si>
  <si>
    <t>AAPL US 04/18/19 C365 Equity</t>
  </si>
  <si>
    <t>AAPL US 04/18/19 C370 Equity</t>
  </si>
  <si>
    <t>AAPL US 04/18/19 C375 Equity</t>
  </si>
  <si>
    <t>AAPL US 04/18/19 C380 Equity</t>
  </si>
  <si>
    <t>AAPL US 04/18/19 C385 Equity</t>
  </si>
  <si>
    <t>AAPL US 04/18/19 C390 Equity</t>
  </si>
  <si>
    <t>AAPL US 04/18/19 C395 Equity</t>
  </si>
  <si>
    <t>AAPL US 04/18/19 C400 Equity</t>
  </si>
  <si>
    <t>AAPL US 04/18/19 C405 Equity</t>
  </si>
  <si>
    <t>AAPL US 04/18/19 C410 Equity</t>
  </si>
  <si>
    <t>AAPL US 04/18/19 C415 Equity</t>
  </si>
  <si>
    <t>AAPL US 04/18/19 C420 Equity</t>
  </si>
  <si>
    <t>AAPL US 04/18/19 C425 Equity</t>
  </si>
  <si>
    <t>AAPL US 04/18/19 P2.5 Equity</t>
  </si>
  <si>
    <t>AAPL US 04/18/19 P5 Equity</t>
  </si>
  <si>
    <t>AAPL US 04/18/19 P7.5 Equity</t>
  </si>
  <si>
    <t>AAPL US 04/18/19 P10 Equity</t>
  </si>
  <si>
    <t>AAPL US 04/18/19 P12.5 Equity</t>
  </si>
  <si>
    <t>AAPL US 04/18/19 P15 Equity</t>
  </si>
  <si>
    <t>AAPL US 04/18/19 P17.5 Equity</t>
  </si>
  <si>
    <t>AAPL US 04/18/19 P20 Equity</t>
  </si>
  <si>
    <t>AAPL US 04/18/19 P22.5 Equity</t>
  </si>
  <si>
    <t>AAPL US 04/18/19 P25 Equity</t>
  </si>
  <si>
    <t>AAPL US 04/18/19 P30 Equity</t>
  </si>
  <si>
    <t>AAPL US 04/18/19 P35 Equity</t>
  </si>
  <si>
    <t>AAPL US 04/18/19 P40 Equity</t>
  </si>
  <si>
    <t>AAPL US 04/18/19 P45 Equity</t>
  </si>
  <si>
    <t>AAPL US 04/18/19 P50 Equity</t>
  </si>
  <si>
    <t>AAPL US 04/18/19 P55 Equity</t>
  </si>
  <si>
    <t>AAPL US 04/18/19 P60 Equity</t>
  </si>
  <si>
    <t>AAPL US 04/18/19 P65 Equity</t>
  </si>
  <si>
    <t>AAPL US 04/18/19 P70 Equity</t>
  </si>
  <si>
    <t>AAPL US 04/18/19 P75 Equity</t>
  </si>
  <si>
    <t>AAPL US 04/18/19 P80 Equity</t>
  </si>
  <si>
    <t>AAPL US 04/18/19 P85 Equity</t>
  </si>
  <si>
    <t>AAPL US 04/18/19 P90 Equity</t>
  </si>
  <si>
    <t>AAPL US 04/18/19 P95 Equity</t>
  </si>
  <si>
    <t>AAPL US 04/18/19 P100 Equity</t>
  </si>
  <si>
    <t>AAPL US 04/18/19 P105 Equity</t>
  </si>
  <si>
    <t>AAPL US 04/18/19 P110 Equity</t>
  </si>
  <si>
    <t>AAPL US 04/18/19 P115 Equity</t>
  </si>
  <si>
    <t>AAPL US 04/18/19 P120 Equity</t>
  </si>
  <si>
    <t>AAPL US 04/18/19 P125 Equity</t>
  </si>
  <si>
    <t>AAPL US 04/18/19 P130 Equity</t>
  </si>
  <si>
    <t>AAPL US 04/18/19 P135 Equity</t>
  </si>
  <si>
    <t>AAPL US 04/18/19 P140 Equity</t>
  </si>
  <si>
    <t>AAPL US 04/18/19 P145 Equity</t>
  </si>
  <si>
    <t>AAPL US 04/18/19 P150 Equity</t>
  </si>
  <si>
    <t>AAPL US 04/18/19 P155 Equity</t>
  </si>
  <si>
    <t>AAPL US 04/18/19 P160 Equity</t>
  </si>
  <si>
    <t>AAPL US 04/18/19 P165 Equity</t>
  </si>
  <si>
    <t>AAPL US 04/18/19 P170 Equity</t>
  </si>
  <si>
    <t>AAPL US 04/18/19 P175 Equity</t>
  </si>
  <si>
    <t>AAPL US 04/18/19 P180 Equity</t>
  </si>
  <si>
    <t>AAPL US 04/18/19 P185 Equity</t>
  </si>
  <si>
    <t>AAPL US 04/18/19 P190 Equity</t>
  </si>
  <si>
    <t>AAPL US 04/18/19 P195 Equity</t>
  </si>
  <si>
    <t>AAPL US 04/18/19 P200 Equity</t>
  </si>
  <si>
    <t>AAPL US 04/18/19 P205 Equity</t>
  </si>
  <si>
    <t>AAPL US 04/18/19 P210 Equity</t>
  </si>
  <si>
    <t>AAPL US 04/18/19 P215 Equity</t>
  </si>
  <si>
    <t>AAPL US 04/18/19 P220 Equity</t>
  </si>
  <si>
    <t>AAPL US 04/18/19 P225 Equity</t>
  </si>
  <si>
    <t>AAPL US 04/18/19 P230 Equity</t>
  </si>
  <si>
    <t>AAPL US 04/18/19 P235 Equity</t>
  </si>
  <si>
    <t>AAPL US 04/18/19 P240 Equity</t>
  </si>
  <si>
    <t>AAPL US 04/18/19 P245 Equity</t>
  </si>
  <si>
    <t>AAPL US 04/18/19 P250 Equity</t>
  </si>
  <si>
    <t>AAPL US 04/18/19 P255 Equity</t>
  </si>
  <si>
    <t>AAPL US 04/18/19 P260 Equity</t>
  </si>
  <si>
    <t>AAPL US 04/18/19 P265 Equity</t>
  </si>
  <si>
    <t>AAPL US 04/18/19 P270 Equity</t>
  </si>
  <si>
    <t>AAPL US 04/18/19 P275 Equity</t>
  </si>
  <si>
    <t>AAPL US 04/18/19 P280 Equity</t>
  </si>
  <si>
    <t>AAPL US 04/18/19 P285 Equity</t>
  </si>
  <si>
    <t>AAPL US 04/18/19 P290 Equity</t>
  </si>
  <si>
    <t>AAPL US 04/18/19 P295 Equity</t>
  </si>
  <si>
    <t>AAPL US 04/18/19 P300 Equity</t>
  </si>
  <si>
    <t>AAPL US 04/18/19 P305 Equity</t>
  </si>
  <si>
    <t>AAPL US 04/18/19 P310 Equity</t>
  </si>
  <si>
    <t>AAPL US 04/18/19 P315 Equity</t>
  </si>
  <si>
    <t>AAPL US 04/18/19 P320 Equity</t>
  </si>
  <si>
    <t>AAPL US 04/18/19 P325 Equity</t>
  </si>
  <si>
    <t>AAPL US 04/18/19 P330 Equity</t>
  </si>
  <si>
    <t>AAPL US 04/18/19 P335 Equity</t>
  </si>
  <si>
    <t>AAPL US 04/18/19 P340 Equity</t>
  </si>
  <si>
    <t>AAPL US 04/18/19 P345 Equity</t>
  </si>
  <si>
    <t>AAPL US 04/18/19 P350 Equity</t>
  </si>
  <si>
    <t>AAPL US 04/18/19 P355 Equity</t>
  </si>
  <si>
    <t>AAPL US 04/18/19 P360 Equity</t>
  </si>
  <si>
    <t>AAPL US 04/18/19 P365 Equity</t>
  </si>
  <si>
    <t>AAPL US 04/18/19 P370 Equity</t>
  </si>
  <si>
    <t>AAPL US 04/18/19 P375 Equity</t>
  </si>
  <si>
    <t>AAPL US 04/18/19 P380 Equity</t>
  </si>
  <si>
    <t>AAPL US 04/18/19 P385 Equity</t>
  </si>
  <si>
    <t>AAPL US 04/18/19 P390 Equity</t>
  </si>
  <si>
    <t>AAPL US 04/18/19 P395 Equity</t>
  </si>
  <si>
    <t>AAPL US 04/18/19 P400 Equity</t>
  </si>
  <si>
    <t>AAPL US 04/18/19 P405 Equity</t>
  </si>
  <si>
    <t>AAPL US 04/18/19 P410 Equity</t>
  </si>
  <si>
    <t>AAPL US 04/18/19 P415 Equity</t>
  </si>
  <si>
    <t>AAPL US 04/18/19 P420 Equity</t>
  </si>
  <si>
    <t>AAPL US 04/18/19 P425 Equity</t>
  </si>
  <si>
    <t>AAPL US 06/21/19 C85 Equity</t>
  </si>
  <si>
    <t>AAPL US 06/21/19 C90 Equity</t>
  </si>
  <si>
    <t>AAPL US 06/21/19 C95 Equity</t>
  </si>
  <si>
    <t>AAPL US 06/21/19 C100 Equity</t>
  </si>
  <si>
    <t>AAPL US 06/21/19 C105 Equity</t>
  </si>
  <si>
    <t>AAPL US 06/21/19 C110 Equity</t>
  </si>
  <si>
    <t>AAPL US 06/21/19 C115 Equity</t>
  </si>
  <si>
    <t>AAPL US 06/21/19 C120 Equity</t>
  </si>
  <si>
    <t>AAPL US 06/21/19 C125 Equity</t>
  </si>
  <si>
    <t>AAPL US 06/21/19 C130 Equity</t>
  </si>
  <si>
    <t>AAPL US 06/21/19 C135 Equity</t>
  </si>
  <si>
    <t>AAPL US 06/21/19 C140 Equity</t>
  </si>
  <si>
    <t>AAPL US 06/21/19 C145 Equity</t>
  </si>
  <si>
    <t>AAPL US 06/21/19 C150 Equity</t>
  </si>
  <si>
    <t>AAPL US 06/21/19 C155 Equity</t>
  </si>
  <si>
    <t>AAPL US 06/21/19 C160 Equity</t>
  </si>
  <si>
    <t>AAPL US 06/21/19 C165 Equity</t>
  </si>
  <si>
    <t>AAPL US 06/21/19 C170 Equity</t>
  </si>
  <si>
    <t>AAPL US 06/21/19 C175 Equity</t>
  </si>
  <si>
    <t>AAPL US 06/21/19 C180 Equity</t>
  </si>
  <si>
    <t>AAPL US 06/21/19 C185 Equity</t>
  </si>
  <si>
    <t>AAPL US 06/21/19 C190 Equity</t>
  </si>
  <si>
    <t>AAPL US 06/21/19 C195 Equity</t>
  </si>
  <si>
    <t>AAPL US 06/21/19 C200 Equity</t>
  </si>
  <si>
    <t>AAPL US 06/21/19 C205 Equity</t>
  </si>
  <si>
    <t>AAPL US 06/21/19 C210 Equity</t>
  </si>
  <si>
    <t>AAPL US 06/21/19 C215 Equity</t>
  </si>
  <si>
    <t>AAPL US 06/21/19 C220 Equity</t>
  </si>
  <si>
    <t>AAPL US 06/21/19 C225 Equity</t>
  </si>
  <si>
    <t>AAPL US 06/21/19 C230 Equity</t>
  </si>
  <si>
    <t>AAPL US 06/21/19 C235 Equity</t>
  </si>
  <si>
    <t>AAPL US 06/21/19 C240 Equity</t>
  </si>
  <si>
    <t>AAPL US 06/21/19 C245 Equity</t>
  </si>
  <si>
    <t>AAPL US 06/21/19 C250 Equity</t>
  </si>
  <si>
    <t>AAPL US 06/21/19 C255 Equity</t>
  </si>
  <si>
    <t>AAPL US 06/21/19 C260 Equity</t>
  </si>
  <si>
    <t>AAPL US 06/21/19 C265 Equity</t>
  </si>
  <si>
    <t>AAPL US 06/21/19 C270 Equity</t>
  </si>
  <si>
    <t>AAPL US 06/21/19 C275 Equity</t>
  </si>
  <si>
    <t>AAPL US 06/21/19 C280 Equity</t>
  </si>
  <si>
    <t>AAPL US 06/21/19 C285 Equity</t>
  </si>
  <si>
    <t>AAPL US 06/21/19 C290 Equity</t>
  </si>
  <si>
    <t>AAPL US 06/21/19 C295 Equity</t>
  </si>
  <si>
    <t>AAPL US 06/21/19 C300 Equity</t>
  </si>
  <si>
    <t>AAPL US 06/21/19 C310 Equity</t>
  </si>
  <si>
    <t>AAPL US 06/21/19 C320 Equity</t>
  </si>
  <si>
    <t>AAPL US 06/21/19 C330 Equity</t>
  </si>
  <si>
    <t>AAPL US 06/21/19 C340 Equity</t>
  </si>
  <si>
    <t>AAPL US 06/21/19 P85 Equity</t>
  </si>
  <si>
    <t>AAPL US 06/21/19 P90 Equity</t>
  </si>
  <si>
    <t>AAPL US 06/21/19 P95 Equity</t>
  </si>
  <si>
    <t>AAPL US 06/21/19 P100 Equity</t>
  </si>
  <si>
    <t>AAPL US 06/21/19 P105 Equity</t>
  </si>
  <si>
    <t>AAPL US 06/21/19 P110 Equity</t>
  </si>
  <si>
    <t>AAPL US 06/21/19 P115 Equity</t>
  </si>
  <si>
    <t>AAPL US 06/21/19 P120 Equity</t>
  </si>
  <si>
    <t>AAPL US 06/21/19 P125 Equity</t>
  </si>
  <si>
    <t>AAPL US 06/21/19 P130 Equity</t>
  </si>
  <si>
    <t>AAPL US 06/21/19 P135 Equity</t>
  </si>
  <si>
    <t>AAPL US 06/21/19 P140 Equity</t>
  </si>
  <si>
    <t>AAPL US 06/21/19 P145 Equity</t>
  </si>
  <si>
    <t>AAPL US 06/21/19 P150 Equity</t>
  </si>
  <si>
    <t>AAPL US 06/21/19 P155 Equity</t>
  </si>
  <si>
    <t>AAPL US 06/21/19 P160 Equity</t>
  </si>
  <si>
    <t>AAPL US 06/21/19 P165 Equity</t>
  </si>
  <si>
    <t>AAPL US 06/21/19 P170 Equity</t>
  </si>
  <si>
    <t>AAPL US 06/21/19 P175 Equity</t>
  </si>
  <si>
    <t>AAPL US 06/21/19 P180 Equity</t>
  </si>
  <si>
    <t>AAPL US 06/21/19 P185 Equity</t>
  </si>
  <si>
    <t>AAPL US 06/21/19 P190 Equity</t>
  </si>
  <si>
    <t>AAPL US 06/21/19 P195 Equity</t>
  </si>
  <si>
    <t>AAPL US 06/21/19 P200 Equity</t>
  </si>
  <si>
    <t>AAPL US 06/21/19 P205 Equity</t>
  </si>
  <si>
    <t>AAPL US 06/21/19 P210 Equity</t>
  </si>
  <si>
    <t>AAPL US 06/21/19 P215 Equity</t>
  </si>
  <si>
    <t>AAPL US 06/21/19 P220 Equity</t>
  </si>
  <si>
    <t>AAPL US 06/21/19 P225 Equity</t>
  </si>
  <si>
    <t>AAPL US 06/21/19 P230 Equity</t>
  </si>
  <si>
    <t>AAPL US 06/21/19 P235 Equity</t>
  </si>
  <si>
    <t>AAPL US 06/21/19 P240 Equity</t>
  </si>
  <si>
    <t>AAPL US 06/21/19 P245 Equity</t>
  </si>
  <si>
    <t>AAPL US 06/21/19 P250 Equity</t>
  </si>
  <si>
    <t>AAPL US 06/21/19 P255 Equity</t>
  </si>
  <si>
    <t>AAPL US 06/21/19 P260 Equity</t>
  </si>
  <si>
    <t>AAPL US 06/21/19 P265 Equity</t>
  </si>
  <si>
    <t>AAPL US 06/21/19 P270 Equity</t>
  </si>
  <si>
    <t>AAPL US 06/21/19 P275 Equity</t>
  </si>
  <si>
    <t>AAPL US 06/21/19 P280 Equity</t>
  </si>
  <si>
    <t>AAPL US 06/21/19 P285 Equity</t>
  </si>
  <si>
    <t>AAPL US 06/21/19 P290 Equity</t>
  </si>
  <si>
    <t>AAPL US 06/21/19 P295 Equity</t>
  </si>
  <si>
    <t>AAPL US 06/21/19 P300 Equity</t>
  </si>
  <si>
    <t>AAPL US 06/21/19 P310 Equity</t>
  </si>
  <si>
    <t>AAPL US 06/21/19 P320 Equity</t>
  </si>
  <si>
    <t>AAPL US 06/21/19 P330 Equity</t>
  </si>
  <si>
    <t>AAPL US 06/21/19 P340 Equity</t>
  </si>
  <si>
    <t>AAPL US 01/17/20 C50 Equity</t>
  </si>
  <si>
    <t>AAPL US 01/17/20 C55 Equity</t>
  </si>
  <si>
    <t>AAPL US 01/17/20 C60 Equity</t>
  </si>
  <si>
    <t>AAPL US 01/17/20 C65 Equity</t>
  </si>
  <si>
    <t>AAPL US 01/17/20 C70 Equity</t>
  </si>
  <si>
    <t>AAPL US 01/17/20 C75 Equity</t>
  </si>
  <si>
    <t>AAPL US 01/17/20 C80 Equity</t>
  </si>
  <si>
    <t>AAPL US 01/17/20 C85 Equity</t>
  </si>
  <si>
    <t>AAPL US 01/17/20 C90 Equity</t>
  </si>
  <si>
    <t>AAPL US 01/17/20 C95 Equity</t>
  </si>
  <si>
    <t>AAPL US 01/17/20 C100 Equity</t>
  </si>
  <si>
    <t>AAPL US 01/17/20 C105 Equity</t>
  </si>
  <si>
    <t>AAPL US 01/17/20 C110 Equity</t>
  </si>
  <si>
    <t>AAPL US 01/17/20 C115 Equity</t>
  </si>
  <si>
    <t>AAPL US 01/17/20 C120 Equity</t>
  </si>
  <si>
    <t>AAPL US 01/17/20 C125 Equity</t>
  </si>
  <si>
    <t>AAPL US 01/17/20 C130 Equity</t>
  </si>
  <si>
    <t>AAPL US 01/17/20 C135 Equity</t>
  </si>
  <si>
    <t>AAPL US 01/17/20 C140 Equity</t>
  </si>
  <si>
    <t>AAPL US 01/17/20 C145 Equity</t>
  </si>
  <si>
    <t>AAPL US 01/17/20 C150 Equity</t>
  </si>
  <si>
    <t>AAPL US 01/17/20 C155 Equity</t>
  </si>
  <si>
    <t>AAPL US 01/17/20 C160 Equity</t>
  </si>
  <si>
    <t>AAPL US 01/17/20 C165 Equity</t>
  </si>
  <si>
    <t>AAPL US 01/17/20 C170 Equity</t>
  </si>
  <si>
    <t>AAPL US 01/17/20 C175 Equity</t>
  </si>
  <si>
    <t>AAPL US 01/17/20 C180 Equity</t>
  </si>
  <si>
    <t>AAPL US 01/17/20 C185 Equity</t>
  </si>
  <si>
    <t>AAPL US 01/17/20 C190 Equity</t>
  </si>
  <si>
    <t>AAPL US 01/17/20 C195 Equity</t>
  </si>
  <si>
    <t>AAPL US 01/17/20 C200 Equity</t>
  </si>
  <si>
    <t>AAPL US 01/17/20 C205 Equity</t>
  </si>
  <si>
    <t>AAPL US 01/17/20 C210 Equity</t>
  </si>
  <si>
    <t>AAPL US 01/17/20 C215 Equity</t>
  </si>
  <si>
    <t>AAPL US 01/17/20 C220 Equity</t>
  </si>
  <si>
    <t>AAPL US 01/17/20 C225 Equity</t>
  </si>
  <si>
    <t>AAPL US 01/17/20 C230 Equity</t>
  </si>
  <si>
    <t>AAPL US 01/17/20 C235 Equity</t>
  </si>
  <si>
    <t>AAPL US 01/17/20 C240 Equity</t>
  </si>
  <si>
    <t>AAPL US 01/17/20 C245 Equity</t>
  </si>
  <si>
    <t>AAPL US 01/17/20 C250 Equity</t>
  </si>
  <si>
    <t>AAPL US 01/17/20 C255 Equity</t>
  </si>
  <si>
    <t>AAPL US 01/17/20 C260 Equity</t>
  </si>
  <si>
    <t>AAPL US 01/17/20 C270 Equity</t>
  </si>
  <si>
    <t>AAPL US 01/17/20 C280 Equity</t>
  </si>
  <si>
    <t>AAPL US 01/17/20 C290 Equity</t>
  </si>
  <si>
    <t>AAPL US 01/17/20 C300 Equity</t>
  </si>
  <si>
    <t>AAPL US 01/17/20 C310 Equity</t>
  </si>
  <si>
    <t>AAPL US 01/17/20 C320 Equity</t>
  </si>
  <si>
    <t>AAPL US 01/17/20 C330 Equity</t>
  </si>
  <si>
    <t>AAPL US 01/17/20 C340 Equity</t>
  </si>
  <si>
    <t>AAPL US 01/17/20 P50 Equity</t>
  </si>
  <si>
    <t>AAPL US 01/17/20 P55 Equity</t>
  </si>
  <si>
    <t>AAPL US 01/17/20 P60 Equity</t>
  </si>
  <si>
    <t>AAPL US 01/17/20 P65 Equity</t>
  </si>
  <si>
    <t>AAPL US 01/17/20 P70 Equity</t>
  </si>
  <si>
    <t>AAPL US 01/17/20 P75 Equity</t>
  </si>
  <si>
    <t>AAPL US 01/17/20 P80 Equity</t>
  </si>
  <si>
    <t>AAPL US 01/17/20 P85 Equity</t>
  </si>
  <si>
    <t>AAPL US 01/17/20 P90 Equity</t>
  </si>
  <si>
    <t>AAPL US 01/17/20 P95 Equity</t>
  </si>
  <si>
    <t>AAPL US 01/17/20 P100 Equity</t>
  </si>
  <si>
    <t>AAPL US 01/17/20 P105 Equity</t>
  </si>
  <si>
    <t>AAPL US 01/17/20 P110 Equity</t>
  </si>
  <si>
    <t>AAPL US 01/17/20 P115 Equity</t>
  </si>
  <si>
    <t>AAPL US 01/17/20 P120 Equity</t>
  </si>
  <si>
    <t>AAPL US 01/17/20 P125 Equity</t>
  </si>
  <si>
    <t>AAPL US 01/17/20 P130 Equity</t>
  </si>
  <si>
    <t>AAPL US 01/17/20 P135 Equity</t>
  </si>
  <si>
    <t>AAPL US 01/17/20 P140 Equity</t>
  </si>
  <si>
    <t>AAPL US 01/17/20 P145 Equity</t>
  </si>
  <si>
    <t>AAPL US 01/17/20 P150 Equity</t>
  </si>
  <si>
    <t>AAPL US 01/17/20 P155 Equity</t>
  </si>
  <si>
    <t>AAPL US 01/17/20 P160 Equity</t>
  </si>
  <si>
    <t>AAPL US 01/17/20 P165 Equity</t>
  </si>
  <si>
    <t>AAPL US 01/17/20 P170 Equity</t>
  </si>
  <si>
    <t>AAPL US 01/17/20 P175 Equity</t>
  </si>
  <si>
    <t>AAPL US 01/17/20 P180 Equity</t>
  </si>
  <si>
    <t>AAPL US 01/17/20 P185 Equity</t>
  </si>
  <si>
    <t>AAPL US 01/17/20 P190 Equity</t>
  </si>
  <si>
    <t>AAPL US 01/17/20 P195 Equity</t>
  </si>
  <si>
    <t>AAPL US 01/17/20 P200 Equity</t>
  </si>
  <si>
    <t>AAPL US 01/17/20 P205 Equity</t>
  </si>
  <si>
    <t>AAPL US 01/17/20 P210 Equity</t>
  </si>
  <si>
    <t>AAPL US 01/17/20 P215 Equity</t>
  </si>
  <si>
    <t>AAPL US 01/17/20 P220 Equity</t>
  </si>
  <si>
    <t>AAPL US 01/17/20 P225 Equity</t>
  </si>
  <si>
    <t>AAPL US 01/17/20 P230 Equity</t>
  </si>
  <si>
    <t>AAPL US 01/17/20 P235 Equity</t>
  </si>
  <si>
    <t>AAPL US 01/17/20 P240 Equity</t>
  </si>
  <si>
    <t>AAPL US 01/17/20 P245 Equity</t>
  </si>
  <si>
    <t>AAPL US 01/17/20 P250 Equity</t>
  </si>
  <si>
    <t>AAPL US 01/17/20 P255 Equity</t>
  </si>
  <si>
    <t>AAPL US 01/17/20 P260 Equity</t>
  </si>
  <si>
    <t>AAPL US 01/17/20 P270 Equity</t>
  </si>
  <si>
    <t>AAPL US 01/17/20 P280 Equity</t>
  </si>
  <si>
    <t>AAPL US 01/17/20 P290 Equity</t>
  </si>
  <si>
    <t>AAPL US 01/17/20 P300 Equity</t>
  </si>
  <si>
    <t>AAPL US 01/17/20 P310 Equity</t>
  </si>
  <si>
    <t>AAPL US 01/17/20 P320 Equity</t>
  </si>
  <si>
    <t>AAPL US 01/17/20 P330 Equity</t>
  </si>
  <si>
    <t>AAPL US 01/17/20 P340 Equity</t>
  </si>
  <si>
    <t>AAPL US 06/19/20 C85 Equity</t>
  </si>
  <si>
    <t>AAPL US 06/19/20 C90 Equity</t>
  </si>
  <si>
    <t>AAPL US 06/19/20 C95 Equity</t>
  </si>
  <si>
    <t>AAPL US 06/19/20 C100 Equity</t>
  </si>
  <si>
    <t>AAPL US 06/19/20 C105 Equity</t>
  </si>
  <si>
    <t>AAPL US 06/19/20 C110 Equity</t>
  </si>
  <si>
    <t>AAPL US 06/19/20 C115 Equity</t>
  </si>
  <si>
    <t>AAPL US 06/19/20 C120 Equity</t>
  </si>
  <si>
    <t>AAPL US 06/19/20 C125 Equity</t>
  </si>
  <si>
    <t>AAPL US 06/19/20 C130 Equity</t>
  </si>
  <si>
    <t>AAPL US 06/19/20 C135 Equity</t>
  </si>
  <si>
    <t>AAPL US 06/19/20 C140 Equity</t>
  </si>
  <si>
    <t>AAPL US 06/19/20 C145 Equity</t>
  </si>
  <si>
    <t>AAPL US 06/19/20 C150 Equity</t>
  </si>
  <si>
    <t>AAPL US 06/19/20 C155 Equity</t>
  </si>
  <si>
    <t>AAPL US 06/19/20 C160 Equity</t>
  </si>
  <si>
    <t>AAPL US 06/19/20 C165 Equity</t>
  </si>
  <si>
    <t>AAPL US 06/19/20 C170 Equity</t>
  </si>
  <si>
    <t>AAPL US 06/19/20 C175 Equity</t>
  </si>
  <si>
    <t>AAPL US 06/19/20 C180 Equity</t>
  </si>
  <si>
    <t>AAPL US 06/19/20 C185 Equity</t>
  </si>
  <si>
    <t>AAPL US 06/19/20 C190 Equity</t>
  </si>
  <si>
    <t>AAPL US 06/19/20 C195 Equity</t>
  </si>
  <si>
    <t>AAPL US 06/19/20 C200 Equity</t>
  </si>
  <si>
    <t>AAPL US 06/19/20 C205 Equity</t>
  </si>
  <si>
    <t>AAPL US 06/19/20 C210 Equity</t>
  </si>
  <si>
    <t>AAPL US 06/19/20 C215 Equity</t>
  </si>
  <si>
    <t>AAPL US 06/19/20 C220 Equity</t>
  </si>
  <si>
    <t>AAPL US 06/19/20 C225 Equity</t>
  </si>
  <si>
    <t>AAPL US 06/19/20 C230 Equity</t>
  </si>
  <si>
    <t>AAPL US 06/19/20 C235 Equity</t>
  </si>
  <si>
    <t>AAPL US 06/19/20 C240 Equity</t>
  </si>
  <si>
    <t>AAPL US 06/19/20 C245 Equity</t>
  </si>
  <si>
    <t>AAPL US 06/19/20 C250 Equity</t>
  </si>
  <si>
    <t>AAPL US 06/19/20 C260 Equity</t>
  </si>
  <si>
    <t>AAPL US 06/19/20 C270 Equity</t>
  </si>
  <si>
    <t>AAPL US 06/19/20 C280 Equity</t>
  </si>
  <si>
    <t>AAPL US 06/19/20 C290 Equity</t>
  </si>
  <si>
    <t>AAPL US 06/19/20 C300 Equity</t>
  </si>
  <si>
    <t>AAPL US 06/19/20 C310 Equity</t>
  </si>
  <si>
    <t>AAPL US 06/19/20 C320 Equity</t>
  </si>
  <si>
    <t>AAPL US 06/19/20 C330 Equity</t>
  </si>
  <si>
    <t>AAPL US 06/19/20 C340 Equity</t>
  </si>
  <si>
    <t>AAPL US 06/19/20 P85 Equity</t>
  </si>
  <si>
    <t>AAPL US 06/19/20 P90 Equity</t>
  </si>
  <si>
    <t>AAPL US 06/19/20 P95 Equity</t>
  </si>
  <si>
    <t>AAPL US 06/19/20 P100 Equity</t>
  </si>
  <si>
    <t>AAPL US 06/19/20 P105 Equity</t>
  </si>
  <si>
    <t>AAPL US 06/19/20 P110 Equity</t>
  </si>
  <si>
    <t>AAPL US 06/19/20 P115 Equity</t>
  </si>
  <si>
    <t>AAPL US 06/19/20 P120 Equity</t>
  </si>
  <si>
    <t>AAPL US 06/19/20 P125 Equity</t>
  </si>
  <si>
    <t>AAPL US 06/19/20 P130 Equity</t>
  </si>
  <si>
    <t>AAPL US 06/19/20 P135 Equity</t>
  </si>
  <si>
    <t>AAPL US 06/19/20 P140 Equity</t>
  </si>
  <si>
    <t>AAPL US 06/19/20 P145 Equity</t>
  </si>
  <si>
    <t>AAPL US 06/19/20 P150 Equity</t>
  </si>
  <si>
    <t>AAPL US 06/19/20 P155 Equity</t>
  </si>
  <si>
    <t>AAPL US 06/19/20 P160 Equity</t>
  </si>
  <si>
    <t>AAPL US 06/19/20 P165 Equity</t>
  </si>
  <si>
    <t>AAPL US 06/19/20 P170 Equity</t>
  </si>
  <si>
    <t>AAPL US 06/19/20 P175 Equity</t>
  </si>
  <si>
    <t>AAPL US 06/19/20 P180 Equity</t>
  </si>
  <si>
    <t>AAPL US 06/19/20 P185 Equity</t>
  </si>
  <si>
    <t>AAPL US 06/19/20 P190 Equity</t>
  </si>
  <si>
    <t>AAPL US 06/19/20 P195 Equity</t>
  </si>
  <si>
    <t>AAPL US 06/19/20 P200 Equity</t>
  </si>
  <si>
    <t>AAPL US 06/19/20 P205 Equity</t>
  </si>
  <si>
    <t>AAPL US 06/19/20 P210 Equity</t>
  </si>
  <si>
    <t>AAPL US 06/19/20 P215 Equity</t>
  </si>
  <si>
    <t>AAPL US 06/19/20 P220 Equity</t>
  </si>
  <si>
    <t>AAPL US 06/19/20 P225 Equity</t>
  </si>
  <si>
    <t>AAPL US 06/19/20 P230 Equity</t>
  </si>
  <si>
    <t>AAPL US 06/19/20 P235 Equity</t>
  </si>
  <si>
    <t>AAPL US 06/19/20 P240 Equity</t>
  </si>
  <si>
    <t>AAPL US 06/19/20 P245 Equity</t>
  </si>
  <si>
    <t>AAPL US 06/19/20 P250 Equity</t>
  </si>
  <si>
    <t>AAPL US 06/19/20 P260 Equity</t>
  </si>
  <si>
    <t>AAPL US 06/19/20 P270 Equity</t>
  </si>
  <si>
    <t>AAPL US 06/19/20 P280 Equity</t>
  </si>
  <si>
    <t>AAPL US 06/19/20 P290 Equity</t>
  </si>
  <si>
    <t>AAPL US 06/19/20 P300 Equity</t>
  </si>
  <si>
    <t>AAPL US 06/19/20 P310 Equity</t>
  </si>
  <si>
    <t>AAPL US 06/19/20 P320 Equity</t>
  </si>
  <si>
    <t>AAPL US 06/19/20 P330 Equity</t>
  </si>
  <si>
    <t>AAPL US 06/19/20 P340 Equity</t>
  </si>
  <si>
    <t>AAPL US 01/15/21 C110 Equity</t>
  </si>
  <si>
    <t>AAPL US 01/15/21 C115 Equity</t>
  </si>
  <si>
    <t>AAPL US 01/15/21 C120 Equity</t>
  </si>
  <si>
    <t>AAPL US 01/15/21 C125 Equity</t>
  </si>
  <si>
    <t>AAPL US 01/15/21 C130 Equity</t>
  </si>
  <si>
    <t>AAPL US 01/15/21 C135 Equity</t>
  </si>
  <si>
    <t>AAPL US 01/15/21 C140 Equity</t>
  </si>
  <si>
    <t>AAPL US 01/15/21 C145 Equity</t>
  </si>
  <si>
    <t>AAPL US 01/15/21 C150 Equity</t>
  </si>
  <si>
    <t>AAPL US 01/15/21 C155 Equity</t>
  </si>
  <si>
    <t>AAPL US 01/15/21 C160 Equity</t>
  </si>
  <si>
    <t>AAPL US 01/15/21 C165 Equity</t>
  </si>
  <si>
    <t>AAPL US 01/15/21 C170 Equity</t>
  </si>
  <si>
    <t>AAPL US 01/15/21 C175 Equity</t>
  </si>
  <si>
    <t>AAPL US 01/15/21 C180 Equity</t>
  </si>
  <si>
    <t>AAPL US 01/15/21 C185 Equity</t>
  </si>
  <si>
    <t>AAPL US 01/15/21 C190 Equity</t>
  </si>
  <si>
    <t>AAPL US 01/15/21 C195 Equity</t>
  </si>
  <si>
    <t>AAPL US 01/15/21 C200 Equity</t>
  </si>
  <si>
    <t>AAPL US 01/15/21 C205 Equity</t>
  </si>
  <si>
    <t>AAPL US 01/15/21 C210 Equity</t>
  </si>
  <si>
    <t>AAPL US 01/15/21 C215 Equity</t>
  </si>
  <si>
    <t>AAPL US 01/15/21 C220 Equity</t>
  </si>
  <si>
    <t>AAPL US 01/15/21 C225 Equity</t>
  </si>
  <si>
    <t>AAPL US 01/15/21 C230 Equity</t>
  </si>
  <si>
    <t>AAPL US 01/15/21 C235 Equity</t>
  </si>
  <si>
    <t>AAPL US 01/15/21 C240 Equity</t>
  </si>
  <si>
    <t>AAPL US 01/15/21 C245 Equity</t>
  </si>
  <si>
    <t>AAPL US 01/15/21 C250 Equity</t>
  </si>
  <si>
    <t>AAPL US 01/15/21 C255 Equity</t>
  </si>
  <si>
    <t>AAPL US 01/15/21 C260 Equity</t>
  </si>
  <si>
    <t>AAPL US 01/15/21 C265 Equity</t>
  </si>
  <si>
    <t>AAPL US 01/15/21 C270 Equity</t>
  </si>
  <si>
    <t>AAPL US 01/15/21 C280 Equity</t>
  </si>
  <si>
    <t>AAPL US 01/15/21 C290 Equity</t>
  </si>
  <si>
    <t>AAPL US 01/15/21 C300 Equity</t>
  </si>
  <si>
    <t>AAPL US 01/15/21 C310 Equity</t>
  </si>
  <si>
    <t>AAPL US 01/15/21 C320 Equity</t>
  </si>
  <si>
    <t>AAPL US 01/15/21 C330 Equity</t>
  </si>
  <si>
    <t>AAPL US 01/15/21 C340 Equity</t>
  </si>
  <si>
    <t>AAPL US 01/15/21 C350 Equity</t>
  </si>
  <si>
    <t>AAPL US 01/15/21 C360 Equity</t>
  </si>
  <si>
    <t>AAPL US 01/15/21 C370 Equity</t>
  </si>
  <si>
    <t>AAPL US 01/15/21 C380 Equity</t>
  </si>
  <si>
    <t>AAPL US 01/15/21 P110 Equity</t>
  </si>
  <si>
    <t>AAPL US 01/15/21 P115 Equity</t>
  </si>
  <si>
    <t>AAPL US 01/15/21 P120 Equity</t>
  </si>
  <si>
    <t>AAPL US 01/15/21 P125 Equity</t>
  </si>
  <si>
    <t>AAPL US 01/15/21 P130 Equity</t>
  </si>
  <si>
    <t>AAPL US 01/15/21 P135 Equity</t>
  </si>
  <si>
    <t>AAPL US 01/15/21 P140 Equity</t>
  </si>
  <si>
    <t>AAPL US 01/15/21 P145 Equity</t>
  </si>
  <si>
    <t>AAPL US 01/15/21 P150 Equity</t>
  </si>
  <si>
    <t>AAPL US 01/15/21 P155 Equity</t>
  </si>
  <si>
    <t>AAPL US 01/15/21 P160 Equity</t>
  </si>
  <si>
    <t>AAPL US 01/15/21 P165 Equity</t>
  </si>
  <si>
    <t>AAPL US 01/15/21 P170 Equity</t>
  </si>
  <si>
    <t>AAPL US 01/15/21 P175 Equity</t>
  </si>
  <si>
    <t>AAPL US 01/15/21 P180 Equity</t>
  </si>
  <si>
    <t>AAPL US 01/15/21 P185 Equity</t>
  </si>
  <si>
    <t>AAPL US 01/15/21 P190 Equity</t>
  </si>
  <si>
    <t>AAPL US 01/15/21 P195 Equity</t>
  </si>
  <si>
    <t>AAPL US 01/15/21 P200 Equity</t>
  </si>
  <si>
    <t>AAPL US 01/15/21 P205 Equity</t>
  </si>
  <si>
    <t>AAPL US 01/15/21 P210 Equity</t>
  </si>
  <si>
    <t>AAPL US 01/15/21 P215 Equity</t>
  </si>
  <si>
    <t>AAPL US 01/15/21 P220 Equity</t>
  </si>
  <si>
    <t>AAPL US 01/15/21 P225 Equity</t>
  </si>
  <si>
    <t>AAPL US 01/15/21 P230 Equity</t>
  </si>
  <si>
    <t>AAPL US 01/15/21 P235 Equity</t>
  </si>
  <si>
    <t>AAPL US 01/15/21 P240 Equity</t>
  </si>
  <si>
    <t>AAPL US 01/15/21 P245 Equity</t>
  </si>
  <si>
    <t>AAPL US 01/15/21 P250 Equity</t>
  </si>
  <si>
    <t>AAPL US 01/15/21 P255 Equity</t>
  </si>
  <si>
    <t>AAPL US 01/15/21 P260 Equity</t>
  </si>
  <si>
    <t>AAPL US 01/15/21 P265 Equity</t>
  </si>
  <si>
    <t>AAPL US 01/15/21 P270 Equity</t>
  </si>
  <si>
    <t>AAPL US 01/15/21 P280 Equity</t>
  </si>
  <si>
    <t>AAPL US 01/15/21 P290 Equity</t>
  </si>
  <si>
    <t>AAPL US 01/15/21 P300 Equity</t>
  </si>
  <si>
    <t>AAPL US 01/15/21 P310 Equity</t>
  </si>
  <si>
    <t>AAPL US 01/15/21 P320 Equity</t>
  </si>
  <si>
    <t>AAPL US 01/15/21 P330 Equity</t>
  </si>
  <si>
    <t>AAPL US 01/15/21 P340 Equity</t>
  </si>
  <si>
    <t>AAPL US 01/15/21 P350 Equity</t>
  </si>
  <si>
    <t>AAPL US 01/15/21 P360 Equity</t>
  </si>
  <si>
    <t>AAPL US 01/15/21 P370 Equity</t>
  </si>
  <si>
    <t>AAPL US 01/15/21 P380 Equity</t>
  </si>
  <si>
    <t>GBP Curncy</t>
  </si>
  <si>
    <t>MAX(PX_HIGH(DATES=RANGE(-3Y,0D)))</t>
  </si>
  <si>
    <t>FILTER(MEMBERS(['SPX Index']),GICS_SECTOR_NAME!='Energy' AND GICS_SECTOR_NAME!='Financials')</t>
  </si>
  <si>
    <t>AVG(GROUP(PE_RATIO,GICS_SECTOR_NAME))</t>
  </si>
  <si>
    <t>Utilities</t>
  </si>
  <si>
    <t>Equity Screening/Aggregation - Avg P/E Ratio by GICS Sector</t>
  </si>
  <si>
    <t>MEMBERS(['INDU Index'])</t>
  </si>
  <si>
    <r>
      <t xml:space="preserve">e) </t>
    </r>
    <r>
      <rPr>
        <b/>
        <sz val="12"/>
        <rFont val="Calibri"/>
        <family val="2"/>
        <scheme val="minor"/>
      </rPr>
      <t>Technical Analysis</t>
    </r>
  </si>
  <si>
    <t>NAME</t>
  </si>
  <si>
    <t>AVG(GROUP(AMT_OUTSTANDING(CURRENCY=USD)))</t>
  </si>
  <si>
    <t>FILTER(BONDS('IBM US Equity'),MATURITY&lt;=TODAY()+10Y)</t>
  </si>
  <si>
    <t>M US Equity</t>
  </si>
  <si>
    <t>JWN US Equity</t>
  </si>
  <si>
    <r>
      <rPr>
        <sz val="11"/>
        <rFont val="Calibri"/>
        <family val="2"/>
        <scheme val="minor"/>
      </rPr>
      <t>Via</t>
    </r>
    <r>
      <rPr>
        <b/>
        <sz val="11"/>
        <rFont val="Calibri"/>
        <family val="2"/>
        <scheme val="minor"/>
      </rPr>
      <t xml:space="preserve"> </t>
    </r>
    <r>
      <rPr>
        <u/>
        <sz val="11"/>
        <color rgb="FF0070C0"/>
        <rFont val="Calibri"/>
        <family val="3"/>
        <charset val="128"/>
        <scheme val="minor"/>
      </rPr>
      <t>HELP BQLX&lt;GO&gt;</t>
    </r>
  </si>
  <si>
    <r>
      <t xml:space="preserve">a) </t>
    </r>
    <r>
      <rPr>
        <b/>
        <sz val="12"/>
        <rFont val="Calibri"/>
        <family val="2"/>
        <scheme val="minor"/>
      </rPr>
      <t>Market data (for most asset classes)</t>
    </r>
  </si>
  <si>
    <r>
      <t xml:space="preserve">b) </t>
    </r>
    <r>
      <rPr>
        <b/>
        <sz val="12"/>
        <rFont val="Calibri"/>
        <family val="2"/>
        <scheme val="minor"/>
      </rPr>
      <t>Equity Fundamentals/Screening</t>
    </r>
  </si>
  <si>
    <r>
      <t xml:space="preserve">c) </t>
    </r>
    <r>
      <rPr>
        <b/>
        <sz val="12"/>
        <rFont val="Calibri"/>
        <family val="2"/>
        <scheme val="minor"/>
      </rPr>
      <t>Fixed Income/Screening</t>
    </r>
  </si>
  <si>
    <r>
      <t xml:space="preserve">d) </t>
    </r>
    <r>
      <rPr>
        <b/>
        <sz val="12"/>
        <rFont val="Calibri"/>
        <family val="2"/>
        <scheme val="minor"/>
      </rPr>
      <t>Funds/Screening</t>
    </r>
  </si>
  <si>
    <t xml:space="preserve">Via the Bloomberg Excel ribbon
</t>
  </si>
  <si>
    <t>Currently - Supported data-sets</t>
  </si>
  <si>
    <t>Custom data calculations, data aggregation/screening, advanced queries and analytics</t>
  </si>
  <si>
    <t>MSFT US Equity</t>
  </si>
  <si>
    <t>EBITDA/SALES_REV_TURN</t>
  </si>
  <si>
    <t>Additional documentation, videos and asset class specific tutorials</t>
  </si>
  <si>
    <t>Via BU&lt;GO&gt;</t>
  </si>
  <si>
    <t xml:space="preserve">Trainings and webinars frequently available on Bloomberg University </t>
  </si>
  <si>
    <t>Advanced Query Syntax    =BQL.Query("let(Expression(s)) get(Expression(s)) for (Universe) with (Optional Parameter(s))")</t>
  </si>
  <si>
    <t xml:space="preserve">Syntax:    =BQL(Universe,Expression(s),Optional Parameter(s))     </t>
  </si>
  <si>
    <r>
      <t xml:space="preserve">The BQL (Bloomberg Query Language) formula </t>
    </r>
    <r>
      <rPr>
        <sz val="11"/>
        <color indexed="30"/>
        <rFont val="Calibri"/>
        <family val="2"/>
      </rPr>
      <t>(multiple security/multiple data items, custom expressions, screening and data aggregation)</t>
    </r>
  </si>
  <si>
    <r>
      <t>Expression:</t>
    </r>
    <r>
      <rPr>
        <b/>
        <sz val="11"/>
        <rFont val="Calibri"/>
        <family val="2"/>
      </rPr>
      <t xml:space="preserve">  one or more data items and optional parameters that control the format or calculation of the data item ex: IS_EPS(FA_PERIOD_REFERENCE=2016,FPT=A)</t>
    </r>
  </si>
  <si>
    <r>
      <t xml:space="preserve">Optional Parameters: </t>
    </r>
    <r>
      <rPr>
        <b/>
        <sz val="11"/>
        <rFont val="Calibri"/>
        <family val="2"/>
      </rPr>
      <t xml:space="preserve"> overrides that apply to all data items in the formula ex: CURRENCY=JPY</t>
    </r>
  </si>
  <si>
    <r>
      <rPr>
        <b/>
        <sz val="12"/>
        <color rgb="FF00B050"/>
        <rFont val="Calibri"/>
        <family val="2"/>
      </rPr>
      <t>Universe:</t>
    </r>
    <r>
      <rPr>
        <b/>
        <sz val="12"/>
        <color indexed="8"/>
        <rFont val="Calibri"/>
        <family val="2"/>
      </rPr>
      <t xml:space="preserve"> </t>
    </r>
    <r>
      <rPr>
        <b/>
        <sz val="11"/>
        <color indexed="8"/>
        <rFont val="Calibri"/>
        <family val="2"/>
      </rPr>
      <t>one or more tickers, MEMBERS() function (members of  a specified index), or a universe function such as EQUITIESUNIV (equity database) ex: MEMBERS('INDU Index')</t>
    </r>
  </si>
  <si>
    <t>Wizard tool, field search, and BQL sample query bank*</t>
  </si>
  <si>
    <r>
      <t xml:space="preserve">*If you do not see the BQL builder please reach out to the Help Desk via </t>
    </r>
    <r>
      <rPr>
        <b/>
        <sz val="11"/>
        <color rgb="FF00B050"/>
        <rFont val="Calibri"/>
        <family val="2"/>
        <scheme val="minor"/>
      </rPr>
      <t xml:space="preserve">HELP HELP </t>
    </r>
    <r>
      <rPr>
        <b/>
        <sz val="11"/>
        <rFont val="Calibri"/>
        <family val="2"/>
        <scheme val="minor"/>
      </rPr>
      <t>on your keyboard</t>
    </r>
  </si>
  <si>
    <t>DROPNA(PCT_DIFF(SALES_REV_TURN(FPT=BA,FPO=RANGE(-3,3))))/100</t>
  </si>
  <si>
    <t>Equity Fundamentals Example - Calendar Year over Year Sales Growth</t>
  </si>
  <si>
    <t>Basic BQL formula -Max 3Y High Price</t>
  </si>
  <si>
    <t>Custom Equity Fundamentals Calculation- Estimate EBITDA Margin</t>
  </si>
  <si>
    <t>MEDIAN(GROUP(SALES_REV_TURN(FPO=1)/1000000))</t>
  </si>
  <si>
    <t>Equity Aggregation Example - Median F12M Sales Estimate</t>
  </si>
  <si>
    <t>Fixed Income Screening/Aggregation - Average amount outstanding for bonds maturing in under 10 yrs</t>
  </si>
  <si>
    <t>=BQL.Query(B130)</t>
  </si>
  <si>
    <t>Advanced Query - Avg YoY Sales Growth for Communication Services Stocks with &gt; $100B Mkt Cap</t>
  </si>
  <si>
    <t>ABBV UN Equity</t>
  </si>
  <si>
    <t>Helper Columns</t>
  </si>
  <si>
    <t>ALXN US Equity</t>
  </si>
  <si>
    <t>INCY US Equity</t>
  </si>
  <si>
    <t>AMGN US Equity</t>
  </si>
  <si>
    <t>REGN US Equity</t>
  </si>
  <si>
    <t>CELG US Equity</t>
  </si>
  <si>
    <t>GILD US Equity</t>
  </si>
  <si>
    <t>BIIB US Equity</t>
  </si>
  <si>
    <t>VRTX US Equity</t>
  </si>
  <si>
    <t>*This query uses multiple formulas in row 132 and helper columns to the right create the security list</t>
  </si>
  <si>
    <r>
      <t>=BQL(</t>
    </r>
    <r>
      <rPr>
        <sz val="11"/>
        <color rgb="FF00B050"/>
        <rFont val="Calibri"/>
        <family val="2"/>
      </rPr>
      <t>H105</t>
    </r>
    <r>
      <rPr>
        <sz val="11"/>
        <color indexed="30"/>
        <rFont val="Calibri"/>
        <family val="2"/>
      </rPr>
      <t>,</t>
    </r>
    <r>
      <rPr>
        <sz val="11"/>
        <color rgb="FFFFC000"/>
        <rFont val="Calibri"/>
        <family val="2"/>
      </rPr>
      <t>J104</t>
    </r>
    <r>
      <rPr>
        <sz val="11"/>
        <color indexed="30"/>
        <rFont val="Calibri"/>
        <family val="2"/>
      </rPr>
      <t>)</t>
    </r>
  </si>
  <si>
    <r>
      <t>=BQL(</t>
    </r>
    <r>
      <rPr>
        <sz val="11"/>
        <color rgb="FF00B050"/>
        <rFont val="Calibri"/>
        <family val="2"/>
      </rPr>
      <t>B105</t>
    </r>
    <r>
      <rPr>
        <sz val="11"/>
        <color indexed="30"/>
        <rFont val="Calibri"/>
        <family val="2"/>
      </rPr>
      <t>,</t>
    </r>
    <r>
      <rPr>
        <sz val="11"/>
        <color rgb="FFFFC000"/>
        <rFont val="Calibri"/>
        <family val="2"/>
      </rPr>
      <t>C104</t>
    </r>
    <r>
      <rPr>
        <sz val="11"/>
        <color indexed="30"/>
        <rFont val="Calibri"/>
        <family val="2"/>
      </rPr>
      <t>)</t>
    </r>
  </si>
  <si>
    <r>
      <t>=BQL(</t>
    </r>
    <r>
      <rPr>
        <sz val="11"/>
        <color rgb="FF00B050"/>
        <rFont val="Calibri"/>
        <family val="2"/>
      </rPr>
      <t>H112</t>
    </r>
    <r>
      <rPr>
        <sz val="11"/>
        <color indexed="30"/>
        <rFont val="Calibri"/>
        <family val="2"/>
      </rPr>
      <t>,</t>
    </r>
    <r>
      <rPr>
        <sz val="11"/>
        <color rgb="FFFFC000"/>
        <rFont val="Calibri"/>
        <family val="2"/>
      </rPr>
      <t>I111</t>
    </r>
    <r>
      <rPr>
        <sz val="11"/>
        <color indexed="30"/>
        <rFont val="Calibri"/>
        <family val="2"/>
      </rPr>
      <t>)</t>
    </r>
  </si>
  <si>
    <r>
      <t>LET (optional):</t>
    </r>
    <r>
      <rPr>
        <b/>
        <sz val="11"/>
        <color rgb="FFFF0000"/>
        <rFont val="Calibri"/>
        <family val="2"/>
      </rPr>
      <t xml:space="preserve"> </t>
    </r>
    <r>
      <rPr>
        <b/>
        <sz val="11"/>
        <rFont val="Calibri"/>
        <family val="2"/>
      </rPr>
      <t>allows for the creation of variables to store more complicated combinations of fields and data items ex: #PX=PX_LAST;</t>
    </r>
  </si>
  <si>
    <r>
      <t>GET (required):</t>
    </r>
    <r>
      <rPr>
        <b/>
        <sz val="11"/>
        <rFont val="Calibri"/>
        <family val="2"/>
      </rPr>
      <t xml:space="preserve"> one or more data items/variables. Optional parameters are enclosed adjacent to the data item ex: PX_LAST(CURRENCY=JPY)</t>
    </r>
  </si>
  <si>
    <r>
      <rPr>
        <b/>
        <sz val="12"/>
        <color rgb="FF00B050"/>
        <rFont val="Calibri"/>
        <family val="2"/>
      </rPr>
      <t>FOR (required):</t>
    </r>
    <r>
      <rPr>
        <b/>
        <sz val="12"/>
        <color rgb="FF7030A0"/>
        <rFont val="Calibri"/>
        <family val="2"/>
      </rPr>
      <t xml:space="preserve">  </t>
    </r>
    <r>
      <rPr>
        <b/>
        <sz val="11"/>
        <rFont val="Calibri"/>
        <family val="2"/>
      </rPr>
      <t>can contain one or more securities, the MEMBERS() function or a universe function ex: (['IBM US Equity', 'AAPL US Equity'])</t>
    </r>
  </si>
  <si>
    <r>
      <rPr>
        <b/>
        <sz val="12"/>
        <color rgb="FF7030A0"/>
        <rFont val="Calibri"/>
        <family val="2"/>
      </rPr>
      <t>WITH (optional):</t>
    </r>
    <r>
      <rPr>
        <b/>
        <sz val="12"/>
        <rFont val="Calibri"/>
        <family val="2"/>
      </rPr>
      <t xml:space="preserve"> </t>
    </r>
    <r>
      <rPr>
        <b/>
        <sz val="11"/>
        <rFont val="Calibri"/>
        <family val="2"/>
      </rPr>
      <t>can contain overrides that apply to all data itmes in the formula ex: CURRENCY=JPY,DATES=2018-10-17</t>
    </r>
  </si>
  <si>
    <r>
      <rPr>
        <b/>
        <sz val="11"/>
        <color rgb="FFFF0000"/>
        <rFont val="Calibri"/>
        <family val="2"/>
      </rPr>
      <t>LET(</t>
    </r>
    <r>
      <rPr>
        <b/>
        <sz val="11"/>
        <rFont val="Calibri"/>
        <family val="2"/>
      </rPr>
      <t>#PX=DROPNA(PCT_DIFF(DROPNA(PX_LAST(dates=range('-365D','0D')))));</t>
    </r>
    <r>
      <rPr>
        <b/>
        <sz val="11"/>
        <color rgb="FFFF0000"/>
        <rFont val="Calibri"/>
        <family val="2"/>
      </rPr>
      <t>)</t>
    </r>
    <r>
      <rPr>
        <b/>
        <sz val="11"/>
        <rFont val="Calibri"/>
        <family val="2"/>
      </rPr>
      <t xml:space="preserve"> 
</t>
    </r>
    <r>
      <rPr>
        <b/>
        <sz val="11"/>
        <color rgb="FFFFC000"/>
        <rFont val="Calibri"/>
        <family val="2"/>
      </rPr>
      <t>GET(</t>
    </r>
    <r>
      <rPr>
        <b/>
        <sz val="11"/>
        <rFont val="Calibri"/>
        <family val="2"/>
      </rPr>
      <t>corr(#PX,value(#PX, ['ALXN US Equity']))</t>
    </r>
    <r>
      <rPr>
        <b/>
        <sz val="11"/>
        <color rgb="FFFFC000"/>
        <rFont val="Calibri"/>
        <family val="2"/>
      </rPr>
      <t>)</t>
    </r>
    <r>
      <rPr>
        <b/>
        <sz val="11"/>
        <rFont val="Calibri"/>
        <family val="2"/>
      </rPr>
      <t xml:space="preserve"> 
</t>
    </r>
    <r>
      <rPr>
        <b/>
        <sz val="11"/>
        <color rgb="FF00B050"/>
        <rFont val="Calibri"/>
        <family val="2"/>
      </rPr>
      <t>FOR</t>
    </r>
    <r>
      <rPr>
        <b/>
        <sz val="11"/>
        <rFont val="Calibri"/>
        <family val="2"/>
      </rPr>
      <t>(['ALXN US Equity','INCY US Equity','AMGN US Equity','ABBV UN Equity','REGN US Equity','CELG US Equity','GILD US Equity','BIIB US Equity','VRTX US Equity']</t>
    </r>
    <r>
      <rPr>
        <b/>
        <sz val="11"/>
        <color rgb="FF00B050"/>
        <rFont val="Calibri"/>
        <family val="2"/>
      </rPr>
      <t xml:space="preserve">) </t>
    </r>
    <r>
      <rPr>
        <b/>
        <sz val="11"/>
        <rFont val="Calibri"/>
        <family val="2"/>
      </rPr>
      <t xml:space="preserve">
</t>
    </r>
    <r>
      <rPr>
        <b/>
        <sz val="11"/>
        <color rgb="FF7030A0"/>
        <rFont val="Calibri"/>
        <family val="2"/>
      </rPr>
      <t>WITH</t>
    </r>
    <r>
      <rPr>
        <b/>
        <sz val="11"/>
        <rFont val="Calibri"/>
        <family val="2"/>
      </rPr>
      <t xml:space="preserve"> (CA_ADJ=FULL</t>
    </r>
    <r>
      <rPr>
        <b/>
        <sz val="11"/>
        <color rgb="FF7030A0"/>
        <rFont val="Calibri"/>
        <family val="2"/>
      </rPr>
      <t>)</t>
    </r>
  </si>
  <si>
    <r>
      <rPr>
        <b/>
        <sz val="11"/>
        <color rgb="FFFF0000"/>
        <rFont val="Calibri"/>
        <family val="2"/>
      </rPr>
      <t>Let(</t>
    </r>
    <r>
      <rPr>
        <b/>
        <sz val="11"/>
        <rFont val="Calibri"/>
        <family val="2"/>
      </rPr>
      <t>#SALES_GROWTH=AVG(PCT_DIFF(SALES_REV_TURN(FPT=A,FPO=RANGE(-3,0))))/100;
#GROWTH_RANK=GROUPSORT(GROUPRANK(#SALES_GROWTH));</t>
    </r>
    <r>
      <rPr>
        <b/>
        <sz val="11"/>
        <color rgb="FFFF0000"/>
        <rFont val="Calibri"/>
        <family val="2"/>
      </rPr>
      <t>)</t>
    </r>
    <r>
      <rPr>
        <b/>
        <sz val="11"/>
        <rFont val="Calibri"/>
        <family val="2"/>
      </rPr>
      <t xml:space="preserve">
</t>
    </r>
    <r>
      <rPr>
        <b/>
        <sz val="11"/>
        <color rgb="FFFFC000"/>
        <rFont val="Calibri"/>
        <family val="2"/>
      </rPr>
      <t>GET(</t>
    </r>
    <r>
      <rPr>
        <b/>
        <sz val="11"/>
        <rFont val="Calibri"/>
        <family val="2"/>
      </rPr>
      <t>#GROWTH_RANK,#SALES_GROWTH</t>
    </r>
    <r>
      <rPr>
        <b/>
        <sz val="11"/>
        <color rgb="FFFFC000"/>
        <rFont val="Calibri"/>
        <family val="2"/>
      </rPr>
      <t>)</t>
    </r>
    <r>
      <rPr>
        <b/>
        <sz val="11"/>
        <rFont val="Calibri"/>
        <family val="2"/>
      </rPr>
      <t xml:space="preserve"> 
</t>
    </r>
    <r>
      <rPr>
        <b/>
        <sz val="11"/>
        <color rgb="FF00B050"/>
        <rFont val="Calibri"/>
        <family val="2"/>
      </rPr>
      <t>FOR</t>
    </r>
    <r>
      <rPr>
        <b/>
        <sz val="11"/>
        <rFont val="Calibri"/>
        <family val="2"/>
      </rPr>
      <t>(FILTER(EQUITIESUNIV(['Active','Primary']),GICS_SECTOR_NAME=='Communication Services' AND CUR_MKT_CAP&gt;100B)</t>
    </r>
    <r>
      <rPr>
        <b/>
        <sz val="11"/>
        <color rgb="FF00B050"/>
        <rFont val="Calibri"/>
        <family val="2"/>
      </rPr>
      <t>)</t>
    </r>
    <r>
      <rPr>
        <b/>
        <sz val="11"/>
        <rFont val="Calibri"/>
        <family val="2"/>
      </rPr>
      <t xml:space="preserve">
</t>
    </r>
    <r>
      <rPr>
        <b/>
        <sz val="11"/>
        <color rgb="FF7030A0"/>
        <rFont val="Calibri"/>
        <family val="2"/>
      </rPr>
      <t>WITH(</t>
    </r>
    <r>
      <rPr>
        <b/>
        <sz val="11"/>
        <rFont val="Calibri"/>
        <family val="2"/>
      </rPr>
      <t>CURRENCY=USD</t>
    </r>
    <r>
      <rPr>
        <b/>
        <sz val="11"/>
        <color rgb="FF7030A0"/>
        <rFont val="Calibri"/>
        <family val="2"/>
      </rPr>
      <t>)</t>
    </r>
  </si>
  <si>
    <r>
      <t xml:space="preserve">Example:    </t>
    </r>
    <r>
      <rPr>
        <sz val="11"/>
        <color theme="1"/>
        <rFont val="Calibri"/>
        <family val="2"/>
        <scheme val="minor"/>
      </rPr>
      <t>=BQL.Query("</t>
    </r>
    <r>
      <rPr>
        <sz val="11"/>
        <color rgb="FFFF0000"/>
        <rFont val="Calibri"/>
        <family val="2"/>
        <scheme val="minor"/>
      </rPr>
      <t>LET(#PX=PX_LAST;#PX2=PX_LOW;)</t>
    </r>
    <r>
      <rPr>
        <sz val="11"/>
        <color theme="1"/>
        <rFont val="Calibri"/>
        <family val="2"/>
        <scheme val="minor"/>
      </rPr>
      <t xml:space="preserve"> </t>
    </r>
    <r>
      <rPr>
        <sz val="11"/>
        <color rgb="FFFFC000"/>
        <rFont val="Calibri"/>
        <family val="2"/>
        <scheme val="minor"/>
      </rPr>
      <t>GET(AVG(GROUP(#PX/#PX2)))</t>
    </r>
    <r>
      <rPr>
        <sz val="11"/>
        <color rgb="FF00B050"/>
        <rFont val="Calibri"/>
        <family val="2"/>
        <scheme val="minor"/>
      </rPr>
      <t xml:space="preserve"> FOR (['AAPL US Equity','VOD LN Equity'])</t>
    </r>
    <r>
      <rPr>
        <sz val="11"/>
        <color theme="1"/>
        <rFont val="Calibri"/>
        <family val="2"/>
        <scheme val="minor"/>
      </rPr>
      <t xml:space="preserve"> </t>
    </r>
    <r>
      <rPr>
        <sz val="11"/>
        <color rgb="FF7030A0"/>
        <rFont val="Calibri"/>
        <family val="2"/>
        <scheme val="minor"/>
      </rPr>
      <t>WITH (CURRENCY=USD)</t>
    </r>
    <r>
      <rPr>
        <sz val="11"/>
        <color theme="1"/>
        <rFont val="Calibri"/>
        <family val="2"/>
        <scheme val="minor"/>
      </rPr>
      <t>")</t>
    </r>
  </si>
  <si>
    <r>
      <t xml:space="preserve">Example:    </t>
    </r>
    <r>
      <rPr>
        <sz val="11"/>
        <color theme="1"/>
        <rFont val="Calibri"/>
        <family val="2"/>
        <scheme val="minor"/>
      </rPr>
      <t>=BQL(</t>
    </r>
    <r>
      <rPr>
        <sz val="11"/>
        <color rgb="FF00B050"/>
        <rFont val="Calibri"/>
        <family val="2"/>
        <scheme val="minor"/>
      </rPr>
      <t>"TTWO US Equity,7974 JP Equity"</t>
    </r>
    <r>
      <rPr>
        <sz val="11"/>
        <color theme="1"/>
        <rFont val="Calibri"/>
        <family val="2"/>
        <scheme val="minor"/>
      </rPr>
      <t>,</t>
    </r>
    <r>
      <rPr>
        <sz val="11"/>
        <color rgb="FFFFC000"/>
        <rFont val="Calibri"/>
        <family val="2"/>
        <scheme val="minor"/>
      </rPr>
      <t>"PX_HIGH,PX_LOW"</t>
    </r>
    <r>
      <rPr>
        <sz val="11"/>
        <color theme="1"/>
        <rFont val="Calibri"/>
        <family val="2"/>
        <scheme val="minor"/>
      </rPr>
      <t>,</t>
    </r>
    <r>
      <rPr>
        <sz val="11"/>
        <color rgb="FF7030A0"/>
        <rFont val="Calibri"/>
        <family val="2"/>
        <scheme val="minor"/>
      </rPr>
      <t>"CURRENCY=JPY","DATES=2018-10-16"</t>
    </r>
    <r>
      <rPr>
        <sz val="11"/>
        <color theme="1"/>
        <rFont val="Calibri"/>
        <family val="2"/>
        <scheme val="minor"/>
      </rPr>
      <t>,</t>
    </r>
    <r>
      <rPr>
        <sz val="11"/>
        <color rgb="FFC00000"/>
        <rFont val="Calibri"/>
        <family val="2"/>
        <scheme val="minor"/>
      </rPr>
      <t>"ShowHeaders=F"</t>
    </r>
    <r>
      <rPr>
        <sz val="11"/>
        <color theme="1"/>
        <rFont val="Calibri"/>
        <family val="2"/>
        <scheme val="minor"/>
      </rPr>
      <t>)</t>
    </r>
  </si>
  <si>
    <r>
      <t>=BQL(</t>
    </r>
    <r>
      <rPr>
        <sz val="11"/>
        <color rgb="FF00B050"/>
        <rFont val="Calibri"/>
        <family val="2"/>
      </rPr>
      <t>B88:B89</t>
    </r>
    <r>
      <rPr>
        <sz val="11"/>
        <color indexed="30"/>
        <rFont val="Calibri"/>
        <family val="2"/>
      </rPr>
      <t>,</t>
    </r>
    <r>
      <rPr>
        <sz val="11"/>
        <color rgb="FFFFC000"/>
        <rFont val="Calibri"/>
        <family val="2"/>
      </rPr>
      <t>C87</t>
    </r>
    <r>
      <rPr>
        <sz val="11"/>
        <color indexed="30"/>
        <rFont val="Calibri"/>
        <family val="2"/>
      </rPr>
      <t>,</t>
    </r>
    <r>
      <rPr>
        <sz val="11"/>
        <color rgb="FFC00000"/>
        <rFont val="Calibri"/>
        <family val="2"/>
      </rPr>
      <t>"ShowIDs=F"</t>
    </r>
    <r>
      <rPr>
        <sz val="11"/>
        <color indexed="30"/>
        <rFont val="Calibri"/>
        <family val="2"/>
      </rPr>
      <t>,</t>
    </r>
    <r>
      <rPr>
        <sz val="11"/>
        <color rgb="FFC00000"/>
        <rFont val="Calibri"/>
        <family val="2"/>
      </rPr>
      <t>"ShowHeaders=F"</t>
    </r>
    <r>
      <rPr>
        <sz val="11"/>
        <color indexed="30"/>
        <rFont val="Calibri"/>
        <family val="2"/>
      </rPr>
      <t>)</t>
    </r>
  </si>
  <si>
    <r>
      <t>=BQL(</t>
    </r>
    <r>
      <rPr>
        <sz val="11"/>
        <color rgb="FF00B050"/>
        <rFont val="Calibri"/>
        <family val="2"/>
      </rPr>
      <t>G88</t>
    </r>
    <r>
      <rPr>
        <sz val="11"/>
        <color indexed="30"/>
        <rFont val="Calibri"/>
        <family val="2"/>
      </rPr>
      <t>,</t>
    </r>
    <r>
      <rPr>
        <sz val="11"/>
        <color rgb="FFFFC000"/>
        <rFont val="Calibri"/>
        <family val="2"/>
      </rPr>
      <t>H87</t>
    </r>
    <r>
      <rPr>
        <sz val="11"/>
        <color indexed="30"/>
        <rFont val="Calibri"/>
        <family val="2"/>
      </rPr>
      <t>,</t>
    </r>
    <r>
      <rPr>
        <sz val="11"/>
        <color rgb="FF7030A0"/>
        <rFont val="Calibri"/>
        <family val="2"/>
      </rPr>
      <t>"FPT=A","FPO=RANGE(1,2)"</t>
    </r>
    <r>
      <rPr>
        <sz val="11"/>
        <color indexed="30"/>
        <rFont val="Calibri"/>
        <family val="2"/>
      </rPr>
      <t>,</t>
    </r>
    <r>
      <rPr>
        <sz val="11"/>
        <color rgb="FFC00000"/>
        <rFont val="Calibri"/>
        <family val="2"/>
      </rPr>
      <t>"ShowHeaders=F"</t>
    </r>
    <r>
      <rPr>
        <sz val="11"/>
        <color indexed="30"/>
        <rFont val="Calibri"/>
        <family val="2"/>
      </rPr>
      <t>,</t>
    </r>
    <r>
      <rPr>
        <sz val="11"/>
        <color rgb="FFC00000"/>
        <rFont val="Calibri"/>
        <family val="2"/>
      </rPr>
      <t>"ShowIDS=F"</t>
    </r>
    <r>
      <rPr>
        <sz val="11"/>
        <color indexed="30"/>
        <rFont val="Calibri"/>
        <family val="2"/>
      </rPr>
      <t>)</t>
    </r>
  </si>
  <si>
    <r>
      <t>=BQL(</t>
    </r>
    <r>
      <rPr>
        <sz val="11"/>
        <color rgb="FF00B050"/>
        <rFont val="Calibri"/>
        <family val="2"/>
      </rPr>
      <t>B97:B98</t>
    </r>
    <r>
      <rPr>
        <sz val="11"/>
        <color indexed="30"/>
        <rFont val="Calibri"/>
        <family val="2"/>
      </rPr>
      <t>,</t>
    </r>
    <r>
      <rPr>
        <sz val="11"/>
        <color rgb="FFFFC000"/>
        <rFont val="Calibri"/>
        <family val="2"/>
      </rPr>
      <t>C95</t>
    </r>
    <r>
      <rPr>
        <sz val="11"/>
        <color indexed="30"/>
        <rFont val="Calibri"/>
        <family val="2"/>
      </rPr>
      <t>,</t>
    </r>
    <r>
      <rPr>
        <sz val="11"/>
        <color rgb="FFC00000"/>
        <rFont val="Calibri"/>
        <family val="2"/>
      </rPr>
      <t>"ShowIDS=F"</t>
    </r>
    <r>
      <rPr>
        <sz val="11"/>
        <color indexed="30"/>
        <rFont val="Calibri"/>
        <family val="2"/>
      </rPr>
      <t>,</t>
    </r>
    <r>
      <rPr>
        <sz val="11"/>
        <color rgb="FFC00000"/>
        <rFont val="Calibri"/>
        <family val="2"/>
      </rPr>
      <t>"ShowHeaders=F"</t>
    </r>
    <r>
      <rPr>
        <sz val="11"/>
        <color indexed="30"/>
        <rFont val="Calibri"/>
        <family val="2"/>
      </rPr>
      <t>,</t>
    </r>
    <r>
      <rPr>
        <sz val="11"/>
        <color rgb="FFC00000"/>
        <rFont val="Calibri"/>
        <family val="2"/>
      </rPr>
      <t>"Transpose=T"</t>
    </r>
    <r>
      <rPr>
        <sz val="11"/>
        <color indexed="30"/>
        <rFont val="Calibri"/>
        <family val="2"/>
      </rPr>
      <t>)</t>
    </r>
  </si>
  <si>
    <r>
      <t>=BQL(</t>
    </r>
    <r>
      <rPr>
        <sz val="11"/>
        <color rgb="FF00B050"/>
        <rFont val="Calibri"/>
        <family val="2"/>
      </rPr>
      <t>B113</t>
    </r>
    <r>
      <rPr>
        <sz val="11"/>
        <color indexed="30"/>
        <rFont val="Calibri"/>
        <family val="2"/>
      </rPr>
      <t>,</t>
    </r>
    <r>
      <rPr>
        <sz val="11"/>
        <color rgb="FFFFC000"/>
        <rFont val="Calibri"/>
        <family val="2"/>
      </rPr>
      <t>C112</t>
    </r>
    <r>
      <rPr>
        <sz val="11"/>
        <color indexed="30"/>
        <rFont val="Calibri"/>
        <family val="2"/>
      </rPr>
      <t>,</t>
    </r>
    <r>
      <rPr>
        <sz val="11"/>
        <color rgb="FFC00000"/>
        <rFont val="Calibri"/>
        <family val="2"/>
      </rPr>
      <t>"ShowHeaders=F"</t>
    </r>
    <r>
      <rPr>
        <sz val="11"/>
        <color indexed="30"/>
        <rFont val="Calibri"/>
        <family val="2"/>
      </rPr>
      <t>)</t>
    </r>
  </si>
  <si>
    <t>Advanced Query - 1Y Correlation Matrix of Daily Price Change %</t>
  </si>
  <si>
    <r>
      <rPr>
        <b/>
        <sz val="12"/>
        <color rgb="FFC00000"/>
        <rFont val="Calibri"/>
        <family val="2"/>
      </rPr>
      <t>Display Parameters (optional):</t>
    </r>
    <r>
      <rPr>
        <b/>
        <sz val="12"/>
        <rFont val="Calibri"/>
        <family val="2"/>
      </rPr>
      <t xml:space="preserve"> </t>
    </r>
    <r>
      <rPr>
        <b/>
        <sz val="11"/>
        <rFont val="Calibri"/>
        <family val="2"/>
      </rPr>
      <t xml:space="preserve"> show/hide descriptive columns and adjust the way the data is output to Excel</t>
    </r>
  </si>
  <si>
    <t>AV853240 Corp</t>
  </si>
  <si>
    <t>AP887268 Corp</t>
  </si>
  <si>
    <t>AV500501 Corp</t>
  </si>
  <si>
    <t>AQ895462 Corp</t>
  </si>
  <si>
    <t>AW713466 Corp</t>
  </si>
  <si>
    <t>AQ584649 Corp</t>
  </si>
  <si>
    <t>AW416188 Corp</t>
  </si>
  <si>
    <t>Fund Screening - Find all Long/Short ETFs in Luxembourg</t>
  </si>
  <si>
    <t>FILTER(Fundsuniv(['Active','Primary']),FUND_STRATEGY=='Long Short' AND EXCH_CODE=='LX')</t>
  </si>
  <si>
    <t>#N/A Limit: Monthly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</si>
</sst>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164" formatCode="_(&quot;$&quot;* #,##0.00_);_(&quot;$&quot;* \(#,##0.00\);_(&quot;$&quot;* &quot;-&quot;??_);_(@_)"/>
    <numFmt numFmtId="165" formatCode="_(* #,##0.00_);_(* \(#,##0.00\);_(* &quot;-&quot;??_);_(@_)"/>
    <numFmt numFmtId="166" formatCode="_(&quot;£&quot;* #,##0.00_);_(&quot;£&quot;* \(#,##0.00\);_(&quot;£&quot;* &quot;-&quot;??_);_(@_)"/>
    <numFmt numFmtId="167" formatCode="0.000"/>
    <numFmt numFmtId="168" formatCode="0.0000"/>
    <numFmt numFmtId="169" formatCode="0.000000"/>
    <numFmt numFmtId="170" formatCode="dd/mm/yy;@"/>
    <numFmt numFmtId="171" formatCode="0.0"/>
    <numFmt numFmtId="172" formatCode="0.00000"/>
    <numFmt numFmtId="173" formatCode="#,##0.00\ &quot;€&quot;"/>
    <numFmt numFmtId="174" formatCode="[$-809]d\ mmmm\ yyyy;@"/>
    <numFmt numFmtId="175" formatCode="#,##0.0"/>
    <numFmt numFmtId="176" formatCode="0.00000000"/>
    <numFmt numFmtId="177" formatCode="0.0000000"/>
    <numFmt numFmtId="178" formatCode="dd/mm/yyyy;@"/>
    <numFmt numFmtId="179" formatCode="_-* #,##0_-;\-* #,##0_-;_-* &quot;-&quot;??_-;_-@_-"/>
    <numFmt numFmtId="180" formatCode="_-* #,##0.0000_-;\-* #,##0.0000_-;_-* &quot;-&quot;??_-;_-@_-"/>
    <numFmt numFmtId="181" formatCode="mm/dd/yyyy\ h:mm\ AM/PM"/>
    <numFmt numFmtId="182" formatCode="0.00000000000E+00"/>
    <numFmt numFmtId="183" formatCode="_(&quot;$&quot;* #,##0_);_(&quot;$&quot;* \(#,##0\);_(&quot;$&quot;* &quot;-&quot;??_);_(@_)"/>
  </numFmts>
  <fonts count="371">
    <font>
      <sz val="11"/>
      <color theme="1"/>
      <name val="Calibri"/>
      <family val="3"/>
      <charset val="128"/>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0"/>
      <name val="Arial"/>
      <family val="2"/>
    </font>
    <font>
      <sz val="12"/>
      <name val="Arial"/>
      <family val="2"/>
    </font>
    <font>
      <sz val="11"/>
      <color indexed="8"/>
      <name val="Arial"/>
      <family val="2"/>
    </font>
    <font>
      <sz val="11"/>
      <color indexed="9"/>
      <name val="Arial"/>
      <family val="2"/>
    </font>
    <font>
      <sz val="11"/>
      <color indexed="20"/>
      <name val="Arial"/>
      <family val="2"/>
    </font>
    <font>
      <b/>
      <sz val="11"/>
      <color indexed="52"/>
      <name val="Arial"/>
      <family val="2"/>
    </font>
    <font>
      <b/>
      <sz val="11"/>
      <color indexed="9"/>
      <name val="Arial"/>
      <family val="2"/>
    </font>
    <font>
      <i/>
      <sz val="11"/>
      <color indexed="23"/>
      <name val="Arial"/>
      <family val="2"/>
    </font>
    <font>
      <sz val="11"/>
      <color indexed="17"/>
      <name val="Arial"/>
      <family val="2"/>
    </font>
    <font>
      <b/>
      <sz val="15"/>
      <color indexed="56"/>
      <name val="Arial"/>
      <family val="2"/>
    </font>
    <font>
      <b/>
      <sz val="13"/>
      <color indexed="56"/>
      <name val="Arial"/>
      <family val="2"/>
    </font>
    <font>
      <b/>
      <sz val="11"/>
      <color indexed="56"/>
      <name val="Arial"/>
      <family val="2"/>
    </font>
    <font>
      <sz val="11"/>
      <color indexed="62"/>
      <name val="Arial"/>
      <family val="2"/>
    </font>
    <font>
      <sz val="11"/>
      <color indexed="52"/>
      <name val="Arial"/>
      <family val="2"/>
    </font>
    <font>
      <sz val="11"/>
      <color indexed="60"/>
      <name val="Arial"/>
      <family val="2"/>
    </font>
    <font>
      <b/>
      <sz val="11"/>
      <color indexed="63"/>
      <name val="Arial"/>
      <family val="2"/>
    </font>
    <font>
      <b/>
      <sz val="18"/>
      <color indexed="56"/>
      <name val="Cambria"/>
      <family val="1"/>
    </font>
    <font>
      <b/>
      <sz val="11"/>
      <color indexed="8"/>
      <name val="Arial"/>
      <family val="2"/>
    </font>
    <font>
      <sz val="11"/>
      <color indexed="10"/>
      <name val="Arial"/>
      <family val="2"/>
    </font>
    <font>
      <sz val="11"/>
      <color indexed="8"/>
      <name val="Calibri"/>
      <family val="2"/>
    </font>
    <font>
      <sz val="10"/>
      <name val="Times New Roman"/>
      <family val="1"/>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b/>
      <sz val="11"/>
      <color indexed="8"/>
      <name val="Calibri"/>
      <family val="2"/>
    </font>
    <font>
      <sz val="11"/>
      <color indexed="10"/>
      <name val="Calibri"/>
      <family val="2"/>
    </font>
    <font>
      <sz val="10"/>
      <name val="Arial"/>
      <family val="2"/>
    </font>
    <font>
      <sz val="11"/>
      <name val="Calibri"/>
      <family val="2"/>
    </font>
    <font>
      <b/>
      <sz val="11"/>
      <name val="Calibri"/>
      <family val="2"/>
    </font>
    <font>
      <sz val="11"/>
      <color indexed="12"/>
      <name val="Calibri"/>
      <family val="2"/>
    </font>
    <font>
      <sz val="10"/>
      <name val="Arial"/>
      <family val="2"/>
    </font>
    <font>
      <sz val="11"/>
      <color indexed="30"/>
      <name val="Calibri"/>
      <family val="2"/>
    </font>
    <font>
      <sz val="10"/>
      <color indexed="8"/>
      <name val="Calibri"/>
      <family val="2"/>
    </font>
    <font>
      <sz val="10"/>
      <color indexed="10"/>
      <name val="Calibri"/>
      <family val="2"/>
    </font>
    <font>
      <sz val="10"/>
      <color indexed="17"/>
      <name val="Calibri"/>
      <family val="2"/>
    </font>
    <font>
      <sz val="10"/>
      <name val="Calibri"/>
      <family val="2"/>
    </font>
    <font>
      <sz val="10"/>
      <color indexed="9"/>
      <name val="Calibri"/>
      <family val="2"/>
    </font>
    <font>
      <sz val="10"/>
      <color indexed="20"/>
      <name val="Calibri"/>
      <family val="2"/>
    </font>
    <font>
      <b/>
      <sz val="10"/>
      <color indexed="37"/>
      <name val="Calibri"/>
      <family val="2"/>
    </font>
    <font>
      <b/>
      <sz val="10"/>
      <color indexed="9"/>
      <name val="Calibri"/>
      <family val="2"/>
    </font>
    <font>
      <i/>
      <sz val="10"/>
      <color indexed="23"/>
      <name val="Calibri"/>
      <family val="2"/>
    </font>
    <font>
      <b/>
      <sz val="15"/>
      <color indexed="62"/>
      <name val="Calibri"/>
      <family val="2"/>
    </font>
    <font>
      <b/>
      <sz val="13"/>
      <color indexed="62"/>
      <name val="Calibri"/>
      <family val="2"/>
    </font>
    <font>
      <b/>
      <sz val="11"/>
      <color indexed="62"/>
      <name val="Calibri"/>
      <family val="2"/>
    </font>
    <font>
      <sz val="10"/>
      <color indexed="12"/>
      <name val="Arial"/>
      <family val="2"/>
    </font>
    <font>
      <sz val="10"/>
      <color indexed="37"/>
      <name val="Calibri"/>
      <family val="2"/>
    </font>
    <font>
      <sz val="10"/>
      <color indexed="60"/>
      <name val="Calibri"/>
      <family val="2"/>
    </font>
    <font>
      <b/>
      <sz val="10"/>
      <color indexed="63"/>
      <name val="Calibri"/>
      <family val="2"/>
    </font>
    <font>
      <b/>
      <sz val="18"/>
      <color indexed="62"/>
      <name val="Cambria"/>
      <family val="1"/>
    </font>
    <font>
      <b/>
      <sz val="10"/>
      <color indexed="8"/>
      <name val="Calibri"/>
      <family val="2"/>
    </font>
    <font>
      <sz val="10"/>
      <name val="Calibri"/>
      <family val="2"/>
    </font>
    <font>
      <sz val="10"/>
      <color indexed="23"/>
      <name val="Calibri"/>
      <family val="2"/>
    </font>
    <font>
      <sz val="16"/>
      <color indexed="30"/>
      <name val="Calibri"/>
      <family val="2"/>
    </font>
    <font>
      <u/>
      <sz val="11"/>
      <name val="Calibri"/>
      <family val="2"/>
    </font>
    <font>
      <sz val="10"/>
      <color indexed="63"/>
      <name val="Calibri"/>
      <family val="2"/>
    </font>
    <font>
      <sz val="10"/>
      <name val="Courier New"/>
      <family val="3"/>
    </font>
    <font>
      <sz val="10"/>
      <name val="Arial"/>
      <family val="2"/>
    </font>
    <font>
      <sz val="14"/>
      <name val="Calibri"/>
      <family val="2"/>
    </font>
    <font>
      <sz val="11"/>
      <color indexed="53"/>
      <name val="Calibri"/>
      <family val="2"/>
    </font>
    <font>
      <i/>
      <sz val="11"/>
      <color indexed="30"/>
      <name val="Calibri"/>
      <family val="2"/>
    </font>
    <font>
      <b/>
      <sz val="12"/>
      <name val="Calibri"/>
      <family val="2"/>
    </font>
    <font>
      <i/>
      <sz val="11"/>
      <color indexed="10"/>
      <name val="Calibri"/>
      <family val="2"/>
    </font>
    <font>
      <sz val="16"/>
      <color indexed="8"/>
      <name val="Calibri"/>
      <family val="2"/>
    </font>
    <font>
      <sz val="18"/>
      <color indexed="8"/>
      <name val="Calibri"/>
      <family val="2"/>
    </font>
    <font>
      <sz val="18"/>
      <color indexed="10"/>
      <name val="Calibri"/>
      <family val="2"/>
    </font>
    <font>
      <sz val="18"/>
      <color indexed="12"/>
      <name val="Calibri"/>
      <family val="2"/>
    </font>
    <font>
      <sz val="18"/>
      <color indexed="17"/>
      <name val="Calibri"/>
      <family val="2"/>
    </font>
    <font>
      <u/>
      <sz val="11"/>
      <color indexed="8"/>
      <name val="Calibri"/>
      <family val="2"/>
    </font>
    <font>
      <u/>
      <sz val="11"/>
      <color indexed="30"/>
      <name val="Calibri"/>
      <family val="2"/>
    </font>
    <font>
      <sz val="12"/>
      <color indexed="62"/>
      <name val="Calibri"/>
      <family val="2"/>
    </font>
    <font>
      <sz val="11"/>
      <color indexed="36"/>
      <name val="Calibri"/>
      <family val="2"/>
    </font>
    <font>
      <sz val="11"/>
      <color indexed="8"/>
      <name val="Calibri"/>
      <family val="2"/>
    </font>
    <font>
      <sz val="11"/>
      <color indexed="9"/>
      <name val="Calibri"/>
      <family val="2"/>
    </font>
    <font>
      <b/>
      <sz val="11"/>
      <color indexed="8"/>
      <name val="Calibri"/>
      <family val="2"/>
    </font>
    <font>
      <sz val="11"/>
      <color indexed="10"/>
      <name val="Calibri"/>
      <family val="2"/>
    </font>
    <font>
      <sz val="12"/>
      <name val="Calibri"/>
      <family val="2"/>
    </font>
    <font>
      <sz val="20"/>
      <color indexed="53"/>
      <name val="Calibri"/>
      <family val="2"/>
    </font>
    <font>
      <sz val="12"/>
      <color indexed="10"/>
      <name val="Calibri"/>
      <family val="2"/>
    </font>
    <font>
      <sz val="20"/>
      <name val="Calibri"/>
      <family val="2"/>
    </font>
    <font>
      <b/>
      <sz val="11"/>
      <name val="Calibri"/>
      <family val="2"/>
    </font>
    <font>
      <sz val="11"/>
      <name val="Calibri"/>
      <family val="2"/>
    </font>
    <font>
      <sz val="16"/>
      <color indexed="30"/>
      <name val="Calibri"/>
      <family val="2"/>
    </font>
    <font>
      <sz val="10"/>
      <color indexed="8"/>
      <name val="Calibri"/>
      <family val="2"/>
    </font>
    <font>
      <sz val="10"/>
      <color indexed="10"/>
      <name val="Calibri"/>
      <family val="2"/>
    </font>
    <font>
      <sz val="10"/>
      <color indexed="17"/>
      <name val="Calibri"/>
      <family val="2"/>
    </font>
    <font>
      <sz val="10"/>
      <name val="Calibri"/>
      <family val="2"/>
    </font>
    <font>
      <sz val="16"/>
      <name val="Calibri"/>
      <family val="2"/>
    </font>
    <font>
      <sz val="11"/>
      <color indexed="17"/>
      <name val="Calibri"/>
      <family val="2"/>
    </font>
    <font>
      <b/>
      <i/>
      <sz val="11"/>
      <name val="Calibri"/>
      <family val="2"/>
    </font>
    <font>
      <sz val="11"/>
      <color indexed="12"/>
      <name val="Calibri"/>
      <family val="2"/>
    </font>
    <font>
      <sz val="11"/>
      <color indexed="53"/>
      <name val="Calibri"/>
      <family val="2"/>
    </font>
    <font>
      <sz val="11"/>
      <color indexed="9"/>
      <name val="Calibri"/>
      <family val="2"/>
    </font>
    <font>
      <sz val="11"/>
      <color indexed="48"/>
      <name val="Calibri"/>
      <family val="2"/>
    </font>
    <font>
      <sz val="12"/>
      <color indexed="8"/>
      <name val="Calibri"/>
      <family val="2"/>
    </font>
    <font>
      <sz val="12"/>
      <color indexed="53"/>
      <name val="Calibri"/>
      <family val="2"/>
    </font>
    <font>
      <sz val="11"/>
      <color indexed="23"/>
      <name val="Calibri"/>
      <family val="2"/>
    </font>
    <font>
      <i/>
      <sz val="11"/>
      <color indexed="8"/>
      <name val="Calibri"/>
      <family val="2"/>
    </font>
    <font>
      <i/>
      <sz val="11"/>
      <name val="Calibri"/>
      <family val="2"/>
    </font>
    <font>
      <sz val="11"/>
      <color indexed="12"/>
      <name val="Calibri"/>
      <family val="2"/>
    </font>
    <font>
      <sz val="16"/>
      <color indexed="12"/>
      <name val="Calibri"/>
      <family val="2"/>
    </font>
    <font>
      <sz val="18"/>
      <name val="Calibri"/>
      <family val="2"/>
    </font>
    <font>
      <sz val="10"/>
      <color indexed="8"/>
      <name val="Times New Roman"/>
      <family val="1"/>
    </font>
    <font>
      <sz val="11"/>
      <color indexed="30"/>
      <name val="Calibri"/>
      <family val="2"/>
    </font>
    <font>
      <sz val="11"/>
      <color indexed="55"/>
      <name val="Calibri"/>
      <family val="2"/>
    </font>
    <font>
      <sz val="11"/>
      <color indexed="55"/>
      <name val="Calibri"/>
      <family val="2"/>
    </font>
    <font>
      <b/>
      <sz val="10"/>
      <name val="Calibri"/>
      <family val="2"/>
    </font>
    <font>
      <sz val="11"/>
      <color indexed="12"/>
      <name val="Calibri"/>
      <family val="2"/>
    </font>
    <font>
      <sz val="16"/>
      <color indexed="30"/>
      <name val="Calibri"/>
      <family val="2"/>
    </font>
    <font>
      <sz val="11"/>
      <color indexed="30"/>
      <name val="Calibri"/>
      <family val="2"/>
    </font>
    <font>
      <sz val="11"/>
      <color indexed="8"/>
      <name val="Calibri"/>
      <family val="2"/>
    </font>
    <font>
      <sz val="11"/>
      <color indexed="23"/>
      <name val="Calibri"/>
      <family val="2"/>
    </font>
    <font>
      <sz val="12"/>
      <color indexed="23"/>
      <name val="Calibri"/>
      <family val="2"/>
    </font>
    <font>
      <sz val="12"/>
      <color indexed="12"/>
      <name val="Calibri"/>
      <family val="2"/>
    </font>
    <font>
      <sz val="11"/>
      <color indexed="22"/>
      <name val="Calibri"/>
      <family val="2"/>
    </font>
    <font>
      <sz val="11"/>
      <color indexed="63"/>
      <name val="Calibri"/>
      <family val="2"/>
    </font>
    <font>
      <sz val="12"/>
      <color indexed="30"/>
      <name val="Calibri"/>
      <family val="2"/>
    </font>
    <font>
      <b/>
      <sz val="11"/>
      <color indexed="53"/>
      <name val="Calibri"/>
      <family val="2"/>
    </font>
    <font>
      <b/>
      <sz val="12"/>
      <name val="Calibri"/>
      <family val="2"/>
    </font>
    <font>
      <i/>
      <sz val="11"/>
      <color indexed="30"/>
      <name val="Calibri"/>
      <family val="2"/>
    </font>
    <font>
      <i/>
      <sz val="11"/>
      <color indexed="8"/>
      <name val="Arial"/>
      <family val="2"/>
    </font>
    <font>
      <sz val="11"/>
      <color indexed="55"/>
      <name val="Calibri"/>
      <family val="2"/>
    </font>
    <font>
      <i/>
      <sz val="11"/>
      <color indexed="55"/>
      <name val="Calibri"/>
      <family val="2"/>
    </font>
    <font>
      <sz val="11"/>
      <color indexed="53"/>
      <name val="Calibri"/>
      <family val="2"/>
    </font>
    <font>
      <i/>
      <sz val="11"/>
      <color indexed="30"/>
      <name val="Calibri"/>
      <family val="2"/>
    </font>
    <font>
      <b/>
      <sz val="12"/>
      <color indexed="10"/>
      <name val="Calibri"/>
      <family val="2"/>
    </font>
    <font>
      <sz val="14"/>
      <name val="Calibri"/>
      <family val="2"/>
    </font>
    <font>
      <sz val="11"/>
      <color indexed="12"/>
      <name val="Calibri"/>
      <family val="2"/>
    </font>
    <font>
      <sz val="9"/>
      <color indexed="8"/>
      <name val="Calibri"/>
      <family val="2"/>
    </font>
    <font>
      <i/>
      <sz val="11"/>
      <color indexed="23"/>
      <name val="Calibri"/>
      <family val="2"/>
    </font>
    <font>
      <i/>
      <sz val="11"/>
      <color indexed="10"/>
      <name val="Calibri"/>
      <family val="2"/>
    </font>
    <font>
      <sz val="11"/>
      <color indexed="22"/>
      <name val="Calibri"/>
      <family val="2"/>
    </font>
    <font>
      <sz val="10"/>
      <color indexed="8"/>
      <name val="Calibri"/>
      <family val="2"/>
    </font>
    <font>
      <b/>
      <sz val="12"/>
      <color indexed="53"/>
      <name val="Calibri"/>
      <family val="2"/>
    </font>
    <font>
      <b/>
      <sz val="12"/>
      <color indexed="8"/>
      <name val="Calibri"/>
      <family val="2"/>
    </font>
    <font>
      <i/>
      <sz val="12"/>
      <color indexed="30"/>
      <name val="Calibri"/>
      <family val="2"/>
    </font>
    <font>
      <sz val="22"/>
      <color indexed="8"/>
      <name val="Calibri"/>
      <family val="2"/>
    </font>
    <font>
      <sz val="16"/>
      <color indexed="10"/>
      <name val="Calibri"/>
      <family val="2"/>
    </font>
    <font>
      <sz val="10"/>
      <color indexed="23"/>
      <name val="Calibri"/>
      <family val="2"/>
    </font>
    <font>
      <b/>
      <sz val="11"/>
      <color indexed="10"/>
      <name val="Calibri"/>
      <family val="2"/>
    </font>
    <font>
      <b/>
      <sz val="11"/>
      <color indexed="17"/>
      <name val="Calibri"/>
      <family val="2"/>
    </font>
    <font>
      <sz val="6"/>
      <name val="ＭＳ Ｐゴシック"/>
      <family val="3"/>
      <charset val="128"/>
    </font>
    <font>
      <sz val="6"/>
      <name val="ＭＳ Ｐゴシック"/>
      <family val="3"/>
      <charset val="128"/>
    </font>
    <font>
      <sz val="9"/>
      <name val="Arial"/>
      <family val="2"/>
    </font>
    <font>
      <sz val="9"/>
      <color indexed="16"/>
      <name val="Calibri"/>
      <family val="2"/>
    </font>
    <font>
      <u/>
      <sz val="11"/>
      <color indexed="12"/>
      <name val="Calibri"/>
      <family val="2"/>
    </font>
    <font>
      <sz val="10"/>
      <name val="Arial"/>
      <family val="2"/>
    </font>
    <font>
      <u/>
      <sz val="10"/>
      <color indexed="12"/>
      <name val="Arial"/>
      <family val="2"/>
    </font>
    <font>
      <b/>
      <sz val="16"/>
      <color indexed="8"/>
      <name val="Calibri"/>
      <family val="2"/>
    </font>
    <font>
      <b/>
      <sz val="11"/>
      <color indexed="36"/>
      <name val="Calibri"/>
      <family val="2"/>
    </font>
    <font>
      <sz val="10"/>
      <name val="Verdana"/>
      <family val="2"/>
    </font>
    <font>
      <b/>
      <sz val="11"/>
      <color indexed="30"/>
      <name val="Calibri"/>
      <family val="2"/>
    </font>
    <font>
      <b/>
      <sz val="16"/>
      <name val="Calibri"/>
      <family val="2"/>
    </font>
    <font>
      <b/>
      <sz val="16"/>
      <color indexed="17"/>
      <name val="Calibri"/>
      <family val="2"/>
    </font>
    <font>
      <sz val="14"/>
      <color indexed="10"/>
      <name val="Calibri"/>
      <family val="2"/>
    </font>
    <font>
      <b/>
      <sz val="16"/>
      <color indexed="10"/>
      <name val="Calibri"/>
      <family val="2"/>
    </font>
    <font>
      <b/>
      <sz val="16"/>
      <color indexed="30"/>
      <name val="Calibri"/>
      <family val="2"/>
    </font>
    <font>
      <sz val="18"/>
      <color indexed="30"/>
      <name val="Calibri"/>
      <family val="2"/>
    </font>
    <font>
      <b/>
      <sz val="18"/>
      <name val="Calibri"/>
      <family val="2"/>
    </font>
    <font>
      <sz val="14"/>
      <color indexed="17"/>
      <name val="Calibri"/>
      <family val="2"/>
    </font>
    <font>
      <sz val="14"/>
      <color indexed="62"/>
      <name val="Calibri"/>
      <family val="2"/>
    </font>
    <font>
      <sz val="14"/>
      <color indexed="30"/>
      <name val="Calibri"/>
      <family val="2"/>
    </font>
    <font>
      <i/>
      <sz val="16"/>
      <color indexed="8"/>
      <name val="Calibri"/>
      <family val="2"/>
    </font>
    <font>
      <i/>
      <sz val="16"/>
      <color indexed="23"/>
      <name val="Calibri"/>
      <family val="2"/>
    </font>
    <font>
      <b/>
      <i/>
      <sz val="16"/>
      <color indexed="23"/>
      <name val="Calibri"/>
      <family val="2"/>
    </font>
    <font>
      <sz val="11"/>
      <name val="Calibri"/>
      <family val="3"/>
      <charset val="128"/>
    </font>
    <font>
      <sz val="11"/>
      <color indexed="8"/>
      <name val="Calibri"/>
      <family val="3"/>
      <charset val="128"/>
    </font>
    <font>
      <b/>
      <sz val="14"/>
      <color indexed="8"/>
      <name val="Calibri"/>
      <family val="2"/>
    </font>
    <font>
      <sz val="14"/>
      <color indexed="8"/>
      <name val="Calibri"/>
      <family val="2"/>
    </font>
    <font>
      <sz val="13"/>
      <name val="Calibri"/>
      <family val="2"/>
    </font>
    <font>
      <b/>
      <sz val="18"/>
      <color indexed="30"/>
      <name val="Calibri"/>
      <family val="2"/>
    </font>
    <font>
      <b/>
      <sz val="12"/>
      <color indexed="30"/>
      <name val="Calibri"/>
      <family val="2"/>
    </font>
    <font>
      <b/>
      <sz val="14"/>
      <color indexed="30"/>
      <name val="Calibri"/>
      <family val="2"/>
    </font>
    <font>
      <b/>
      <sz val="22"/>
      <color indexed="10"/>
      <name val="Calibri"/>
      <family val="2"/>
    </font>
    <font>
      <b/>
      <sz val="22"/>
      <color indexed="17"/>
      <name val="Calibri"/>
      <family val="2"/>
    </font>
    <font>
      <b/>
      <sz val="22"/>
      <name val="Calibri"/>
      <family val="2"/>
    </font>
    <font>
      <b/>
      <sz val="14"/>
      <name val="Calibri"/>
      <family val="2"/>
    </font>
    <font>
      <u/>
      <sz val="11"/>
      <color indexed="17"/>
      <name val="Calibri"/>
      <family val="2"/>
    </font>
    <font>
      <u/>
      <sz val="11"/>
      <color indexed="10"/>
      <name val="Calibri"/>
      <family val="2"/>
    </font>
    <font>
      <sz val="13"/>
      <color indexed="10"/>
      <name val="Calibri"/>
      <family val="2"/>
    </font>
    <font>
      <i/>
      <u/>
      <sz val="11"/>
      <name val="Calibri"/>
      <family val="2"/>
    </font>
    <font>
      <i/>
      <sz val="14"/>
      <color indexed="30"/>
      <name val="Calibri"/>
      <family val="2"/>
    </font>
    <font>
      <sz val="11"/>
      <color theme="1"/>
      <name val="Calibri"/>
      <family val="3"/>
      <charset val="128"/>
      <scheme val="minor"/>
    </font>
    <font>
      <sz val="11"/>
      <color theme="1"/>
      <name val="Calibri"/>
      <family val="2"/>
      <scheme val="minor"/>
    </font>
    <font>
      <sz val="11"/>
      <color theme="0"/>
      <name val="Calibri"/>
      <family val="3"/>
      <charset val="128"/>
      <scheme val="minor"/>
    </font>
    <font>
      <sz val="11"/>
      <color theme="0"/>
      <name val="Calibri"/>
      <family val="2"/>
      <scheme val="minor"/>
    </font>
    <font>
      <sz val="11"/>
      <color rgb="FF9C0006"/>
      <name val="Calibri"/>
      <family val="2"/>
      <scheme val="minor"/>
    </font>
    <font>
      <b/>
      <sz val="11"/>
      <color rgb="FFFA7D00"/>
      <name val="Calibri"/>
      <family val="2"/>
      <scheme val="minor"/>
    </font>
    <font>
      <b/>
      <sz val="11"/>
      <color theme="0"/>
      <name val="Calibri"/>
      <family val="2"/>
      <scheme val="minor"/>
    </font>
    <font>
      <i/>
      <sz val="11"/>
      <color rgb="FF7F7F7F"/>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u/>
      <sz val="11"/>
      <color theme="10"/>
      <name val="Calibri"/>
      <family val="3"/>
      <charset val="128"/>
      <scheme val="minor"/>
    </font>
    <font>
      <u/>
      <sz val="11"/>
      <color theme="10"/>
      <name val="Calibri"/>
      <family val="2"/>
      <scheme val="minor"/>
    </font>
    <font>
      <u/>
      <sz val="11"/>
      <color rgb="FF7030A0"/>
      <name val="Calibri"/>
      <family val="2"/>
      <scheme val="minor"/>
    </font>
    <font>
      <sz val="11"/>
      <color rgb="FF3F3F76"/>
      <name val="Calibri"/>
      <family val="2"/>
      <scheme val="minor"/>
    </font>
    <font>
      <sz val="11"/>
      <color rgb="FFFA7D00"/>
      <name val="Calibri"/>
      <family val="2"/>
      <scheme val="minor"/>
    </font>
    <font>
      <sz val="11"/>
      <color rgb="FF9C6500"/>
      <name val="Calibri"/>
      <family val="2"/>
      <scheme val="minor"/>
    </font>
    <font>
      <sz val="11"/>
      <color theme="1"/>
      <name val="Arial"/>
      <family val="2"/>
    </font>
    <font>
      <sz val="9"/>
      <color theme="1"/>
      <name val="Calibri"/>
      <family val="3"/>
      <charset val="128"/>
      <scheme val="minor"/>
    </font>
    <font>
      <b/>
      <sz val="11"/>
      <color rgb="FF3F3F3F"/>
      <name val="Calibri"/>
      <family val="2"/>
      <scheme val="minor"/>
    </font>
    <font>
      <b/>
      <sz val="18"/>
      <color theme="3"/>
      <name val="Cambria"/>
      <family val="2"/>
      <scheme val="major"/>
    </font>
    <font>
      <b/>
      <sz val="11"/>
      <color theme="1"/>
      <name val="Calibri"/>
      <family val="2"/>
      <scheme val="minor"/>
    </font>
    <font>
      <sz val="11"/>
      <color rgb="FFFF0000"/>
      <name val="Calibri"/>
      <family val="3"/>
      <charset val="128"/>
      <scheme val="minor"/>
    </font>
    <font>
      <sz val="11"/>
      <color rgb="FFFF0000"/>
      <name val="Calibri"/>
      <family val="2"/>
      <scheme val="minor"/>
    </font>
    <font>
      <sz val="11"/>
      <color theme="1"/>
      <name val="Calibri"/>
      <family val="2"/>
    </font>
    <font>
      <sz val="10"/>
      <color theme="3" tint="0.39997558519241921"/>
      <name val="Calibri"/>
      <family val="2"/>
    </font>
    <font>
      <sz val="11"/>
      <color rgb="FFFF0000"/>
      <name val="Calibri"/>
      <family val="2"/>
    </font>
    <font>
      <sz val="11"/>
      <color theme="3" tint="0.39997558519241921"/>
      <name val="Calibri"/>
      <family val="2"/>
      <scheme val="minor"/>
    </font>
    <font>
      <sz val="11"/>
      <name val="Calibri"/>
      <family val="2"/>
      <scheme val="minor"/>
    </font>
    <font>
      <sz val="10"/>
      <color theme="1"/>
      <name val="Calibri"/>
      <family val="2"/>
      <scheme val="minor"/>
    </font>
    <font>
      <b/>
      <sz val="11"/>
      <color theme="3" tint="0.39997558519241921"/>
      <name val="Calibri"/>
      <family val="2"/>
      <scheme val="minor"/>
    </font>
    <font>
      <sz val="11"/>
      <color theme="5" tint="-0.249977111117893"/>
      <name val="Calibri"/>
      <family val="2"/>
      <scheme val="minor"/>
    </font>
    <font>
      <b/>
      <sz val="11"/>
      <color theme="5" tint="-0.249977111117893"/>
      <name val="Calibri"/>
      <family val="2"/>
      <scheme val="minor"/>
    </font>
    <font>
      <sz val="11"/>
      <color theme="0" tint="-0.499984740745262"/>
      <name val="Calibri"/>
      <family val="2"/>
      <scheme val="minor"/>
    </font>
    <font>
      <sz val="9"/>
      <color theme="1"/>
      <name val="Calibri"/>
      <family val="2"/>
      <scheme val="minor"/>
    </font>
    <font>
      <sz val="11"/>
      <color theme="3" tint="0.39997558519241921"/>
      <name val="Calibri"/>
      <family val="2"/>
    </font>
    <font>
      <i/>
      <sz val="11"/>
      <color theme="0" tint="-0.499984740745262"/>
      <name val="Calibri"/>
      <family val="2"/>
      <scheme val="minor"/>
    </font>
    <font>
      <i/>
      <sz val="11"/>
      <color theme="0" tint="-0.34998626667073579"/>
      <name val="Calibri"/>
      <family val="2"/>
    </font>
    <font>
      <i/>
      <sz val="11"/>
      <color theme="1"/>
      <name val="Calibri"/>
      <family val="2"/>
      <scheme val="minor"/>
    </font>
    <font>
      <b/>
      <sz val="9"/>
      <color theme="1"/>
      <name val="Calibri"/>
      <family val="2"/>
      <scheme val="minor"/>
    </font>
    <font>
      <sz val="10"/>
      <name val="Calibri"/>
      <family val="2"/>
      <scheme val="minor"/>
    </font>
    <font>
      <sz val="11"/>
      <color rgb="FF00B050"/>
      <name val="Calibri"/>
      <family val="2"/>
      <scheme val="minor"/>
    </font>
    <font>
      <sz val="11"/>
      <color rgb="FF0033CC"/>
      <name val="Calibri"/>
      <family val="2"/>
    </font>
    <font>
      <sz val="11"/>
      <color rgb="FF0033CC"/>
      <name val="Calibri"/>
      <family val="2"/>
      <scheme val="minor"/>
    </font>
    <font>
      <sz val="11"/>
      <name val="Calibri"/>
      <family val="3"/>
      <charset val="128"/>
      <scheme val="minor"/>
    </font>
    <font>
      <sz val="11"/>
      <color theme="3" tint="0.39997558519241921"/>
      <name val="Calibri"/>
      <family val="3"/>
      <charset val="128"/>
      <scheme val="minor"/>
    </font>
    <font>
      <sz val="11"/>
      <color theme="0" tint="-0.499984740745262"/>
      <name val="Calibri"/>
      <family val="2"/>
    </font>
    <font>
      <sz val="11"/>
      <color rgb="FF0070C0"/>
      <name val="Calibri"/>
      <family val="2"/>
    </font>
    <font>
      <sz val="11"/>
      <color rgb="FF008000"/>
      <name val="Calibri"/>
      <family val="2"/>
    </font>
    <font>
      <sz val="11"/>
      <color rgb="FF0070C0"/>
      <name val="Calibri"/>
      <family val="2"/>
      <scheme val="minor"/>
    </font>
    <font>
      <sz val="11"/>
      <color rgb="FF00B050"/>
      <name val="Calibri"/>
      <family val="2"/>
    </font>
    <font>
      <sz val="12"/>
      <name val="Calibri"/>
      <family val="2"/>
      <scheme val="minor"/>
    </font>
    <font>
      <sz val="11"/>
      <color theme="1" tint="0.249977111117893"/>
      <name val="Calibri"/>
      <family val="2"/>
      <scheme val="minor"/>
    </font>
    <font>
      <sz val="11"/>
      <color rgb="FF7030A0"/>
      <name val="Calibri"/>
      <family val="2"/>
    </font>
    <font>
      <sz val="11"/>
      <color rgb="FF008000"/>
      <name val="Calibri"/>
      <family val="2"/>
      <scheme val="minor"/>
    </font>
    <font>
      <sz val="11"/>
      <color rgb="FF996600"/>
      <name val="Calibri"/>
      <family val="2"/>
    </font>
    <font>
      <sz val="12"/>
      <color rgb="FF0070C0"/>
      <name val="Calibri"/>
      <family val="2"/>
    </font>
    <font>
      <sz val="11"/>
      <color theme="9" tint="-0.249977111117893"/>
      <name val="Calibri"/>
      <family val="2"/>
    </font>
    <font>
      <sz val="11"/>
      <color theme="1" tint="0.499984740745262"/>
      <name val="Calibri"/>
      <family val="3"/>
      <charset val="128"/>
      <scheme val="minor"/>
    </font>
    <font>
      <sz val="11"/>
      <color theme="0" tint="-0.499984740745262"/>
      <name val="Calibri"/>
      <family val="3"/>
      <charset val="128"/>
      <scheme val="minor"/>
    </font>
    <font>
      <sz val="11"/>
      <color rgb="FF00B050"/>
      <name val="Calibri"/>
      <family val="3"/>
      <charset val="128"/>
      <scheme val="minor"/>
    </font>
    <font>
      <sz val="11"/>
      <color rgb="FF00B050"/>
      <name val="Calibri"/>
      <family val="3"/>
      <charset val="128"/>
    </font>
    <font>
      <sz val="12"/>
      <color theme="3" tint="0.39997558519241921"/>
      <name val="Calibri"/>
      <family val="2"/>
    </font>
    <font>
      <i/>
      <sz val="11"/>
      <color rgb="FFFF0000"/>
      <name val="Calibri"/>
      <family val="2"/>
    </font>
    <font>
      <sz val="11"/>
      <color theme="9" tint="-0.499984740745262"/>
      <name val="Calibri"/>
      <family val="2"/>
    </font>
    <font>
      <i/>
      <sz val="10"/>
      <color theme="1"/>
      <name val="Calibri"/>
      <family val="2"/>
    </font>
    <font>
      <sz val="12"/>
      <color rgb="FF0070C0"/>
      <name val="Calibri"/>
      <family val="2"/>
      <scheme val="minor"/>
    </font>
    <font>
      <b/>
      <sz val="11"/>
      <name val="Calibri"/>
      <family val="2"/>
      <scheme val="minor"/>
    </font>
    <font>
      <b/>
      <i/>
      <sz val="11"/>
      <color rgb="FF0070C0"/>
      <name val="Calibri"/>
      <family val="2"/>
      <scheme val="minor"/>
    </font>
    <font>
      <b/>
      <sz val="11"/>
      <color rgb="FF0070C0"/>
      <name val="Calibri"/>
      <family val="2"/>
      <scheme val="minor"/>
    </font>
    <font>
      <i/>
      <sz val="11"/>
      <color rgb="FFFF0000"/>
      <name val="Calibri"/>
      <family val="2"/>
      <scheme val="minor"/>
    </font>
    <font>
      <sz val="14"/>
      <color theme="1"/>
      <name val="Calibri"/>
      <family val="3"/>
      <charset val="128"/>
      <scheme val="minor"/>
    </font>
    <font>
      <sz val="10"/>
      <color rgb="FF0070C0"/>
      <name val="Calibri"/>
      <family val="3"/>
      <charset val="128"/>
      <scheme val="minor"/>
    </font>
    <font>
      <sz val="10"/>
      <color indexed="8"/>
      <name val="Calibri"/>
      <family val="3"/>
      <charset val="128"/>
      <scheme val="minor"/>
    </font>
    <font>
      <b/>
      <sz val="18"/>
      <name val="Calibri"/>
      <family val="3"/>
      <charset val="128"/>
      <scheme val="minor"/>
    </font>
    <font>
      <sz val="10"/>
      <name val="Calibri"/>
      <family val="3"/>
      <charset val="128"/>
      <scheme val="minor"/>
    </font>
    <font>
      <i/>
      <sz val="10"/>
      <color theme="1"/>
      <name val="Calibri"/>
      <family val="2"/>
      <scheme val="minor"/>
    </font>
    <font>
      <u/>
      <sz val="11"/>
      <name val="Calibri"/>
      <family val="3"/>
      <charset val="128"/>
      <scheme val="minor"/>
    </font>
    <font>
      <sz val="16"/>
      <color theme="1"/>
      <name val="Calibri"/>
      <family val="3"/>
      <charset val="128"/>
      <scheme val="minor"/>
    </font>
    <font>
      <sz val="16"/>
      <color rgb="FF0070C0"/>
      <name val="Calibri"/>
      <family val="2"/>
    </font>
    <font>
      <i/>
      <u/>
      <sz val="11"/>
      <color rgb="FFFF0000"/>
      <name val="Calibri"/>
      <family val="2"/>
      <scheme val="minor"/>
    </font>
    <font>
      <b/>
      <sz val="16"/>
      <color theme="1"/>
      <name val="Calibri"/>
      <family val="2"/>
      <scheme val="minor"/>
    </font>
    <font>
      <sz val="11"/>
      <color rgb="FF2F75B5"/>
      <name val="Calibri"/>
      <family val="2"/>
      <scheme val="minor"/>
    </font>
    <font>
      <b/>
      <sz val="14"/>
      <color theme="1"/>
      <name val="Calibri"/>
      <family val="2"/>
      <scheme val="minor"/>
    </font>
    <font>
      <sz val="11"/>
      <color rgb="FF0070C0"/>
      <name val="Calibri"/>
      <family val="3"/>
      <charset val="128"/>
      <scheme val="minor"/>
    </font>
    <font>
      <sz val="11"/>
      <color rgb="FF0070C0"/>
      <name val="Calibri"/>
      <family val="3"/>
      <charset val="128"/>
    </font>
    <font>
      <sz val="11"/>
      <color theme="9" tint="-0.499984740745262"/>
      <name val="Calibri"/>
      <family val="2"/>
      <scheme val="minor"/>
    </font>
    <font>
      <sz val="14"/>
      <color rgb="FF00B050"/>
      <name val="Calibri"/>
      <family val="2"/>
    </font>
    <font>
      <sz val="12"/>
      <color rgb="FFFF0000"/>
      <name val="Calibri"/>
      <family val="2"/>
    </font>
    <font>
      <sz val="10"/>
      <color rgb="FF00B050"/>
      <name val="Calibri"/>
      <family val="2"/>
    </font>
    <font>
      <sz val="10"/>
      <color rgb="FFFF0000"/>
      <name val="Calibri"/>
      <family val="2"/>
    </font>
    <font>
      <sz val="14"/>
      <color rgb="FF00B050"/>
      <name val="Calibri"/>
      <family val="3"/>
      <charset val="128"/>
      <scheme val="minor"/>
    </font>
    <font>
      <b/>
      <sz val="36"/>
      <color theme="1"/>
      <name val="Calibri"/>
      <family val="2"/>
      <scheme val="minor"/>
    </font>
    <font>
      <sz val="12"/>
      <color theme="1"/>
      <name val="Calibri"/>
      <family val="2"/>
      <scheme val="minor"/>
    </font>
    <font>
      <b/>
      <sz val="12"/>
      <color theme="1"/>
      <name val="Calibri"/>
      <family val="2"/>
      <scheme val="minor"/>
    </font>
    <font>
      <sz val="12"/>
      <color rgb="FFFF0000"/>
      <name val="Calibri"/>
      <family val="2"/>
      <scheme val="minor"/>
    </font>
    <font>
      <b/>
      <sz val="16"/>
      <color rgb="FFFF0000"/>
      <name val="Calibri"/>
      <family val="2"/>
    </font>
    <font>
      <sz val="11"/>
      <color theme="0" tint="-0.14999847407452621"/>
      <name val="Calibri"/>
      <family val="3"/>
      <charset val="128"/>
      <scheme val="minor"/>
    </font>
    <font>
      <sz val="14"/>
      <color theme="1"/>
      <name val="Calibri"/>
      <family val="2"/>
    </font>
    <font>
      <b/>
      <sz val="16"/>
      <name val="Calibri"/>
      <family val="3"/>
      <charset val="128"/>
      <scheme val="minor"/>
    </font>
    <font>
      <b/>
      <sz val="18"/>
      <color rgb="FFFF0000"/>
      <name val="Calibri"/>
      <family val="2"/>
    </font>
    <font>
      <sz val="11"/>
      <color theme="0"/>
      <name val="Calibri"/>
      <family val="2"/>
    </font>
    <font>
      <sz val="12"/>
      <color theme="0"/>
      <name val="Calibri"/>
      <family val="2"/>
    </font>
    <font>
      <b/>
      <sz val="18"/>
      <color rgb="FF00B050"/>
      <name val="Calibri"/>
      <family val="2"/>
    </font>
    <font>
      <sz val="12"/>
      <color theme="0"/>
      <name val="Calibri"/>
      <family val="3"/>
      <charset val="128"/>
    </font>
    <font>
      <sz val="14"/>
      <color rgb="FFFF0000"/>
      <name val="Calibri"/>
      <family val="2"/>
    </font>
    <font>
      <b/>
      <sz val="14"/>
      <color rgb="FF00B050"/>
      <name val="Calibri"/>
      <family val="2"/>
      <scheme val="minor"/>
    </font>
    <font>
      <b/>
      <sz val="11"/>
      <color theme="9" tint="-0.249977111117893"/>
      <name val="Calibri"/>
      <family val="2"/>
      <scheme val="minor"/>
    </font>
    <font>
      <b/>
      <sz val="14"/>
      <color rgb="FFFF0000"/>
      <name val="Calibri"/>
      <family val="2"/>
      <scheme val="minor"/>
    </font>
    <font>
      <sz val="9"/>
      <color rgb="FFFF0000"/>
      <name val="Calibri"/>
      <family val="2"/>
      <scheme val="minor"/>
    </font>
    <font>
      <sz val="9"/>
      <color theme="1" tint="0.249977111117893"/>
      <name val="Calibri"/>
      <family val="2"/>
      <scheme val="minor"/>
    </font>
    <font>
      <sz val="12"/>
      <color theme="0" tint="-0.249977111117893"/>
      <name val="Calibri"/>
      <family val="3"/>
      <charset val="128"/>
      <scheme val="minor"/>
    </font>
    <font>
      <sz val="11"/>
      <color theme="0" tint="-0.34998626667073579"/>
      <name val="Calibri"/>
      <family val="3"/>
      <charset val="128"/>
      <scheme val="minor"/>
    </font>
    <font>
      <b/>
      <sz val="12"/>
      <color theme="9" tint="-0.249977111117893"/>
      <name val="Calibri"/>
      <family val="2"/>
      <scheme val="minor"/>
    </font>
    <font>
      <sz val="11"/>
      <color rgb="FFC00000"/>
      <name val="Calibri"/>
      <family val="3"/>
      <charset val="128"/>
      <scheme val="minor"/>
    </font>
    <font>
      <b/>
      <sz val="22"/>
      <color rgb="FF00B050"/>
      <name val="Calibri"/>
      <family val="2"/>
      <scheme val="minor"/>
    </font>
    <font>
      <sz val="16"/>
      <color theme="1"/>
      <name val="Calibri"/>
      <family val="2"/>
      <scheme val="minor"/>
    </font>
    <font>
      <sz val="16"/>
      <color theme="1"/>
      <name val="Calibri"/>
      <family val="2"/>
    </font>
    <font>
      <sz val="11"/>
      <color theme="1" tint="0.34998626667073579"/>
      <name val="Calibri"/>
      <family val="2"/>
    </font>
    <font>
      <sz val="10"/>
      <color rgb="FFC00000"/>
      <name val="Calibri"/>
      <family val="2"/>
    </font>
    <font>
      <sz val="11"/>
      <color rgb="FFC00000"/>
      <name val="Calibri"/>
      <family val="2"/>
      <scheme val="minor"/>
    </font>
    <font>
      <sz val="11"/>
      <color rgb="FFC00000"/>
      <name val="Calibri"/>
      <family val="2"/>
    </font>
    <font>
      <sz val="10"/>
      <color theme="0" tint="-0.499984740745262"/>
      <name val="Calibri"/>
      <family val="2"/>
    </font>
    <font>
      <i/>
      <sz val="11"/>
      <color rgb="FF0070C0"/>
      <name val="Calibri"/>
      <family val="2"/>
      <scheme val="minor"/>
    </font>
    <font>
      <i/>
      <sz val="16"/>
      <color rgb="FF00B050"/>
      <name val="Calibri"/>
      <family val="2"/>
    </font>
    <font>
      <b/>
      <i/>
      <sz val="11"/>
      <color rgb="FFFF0000"/>
      <name val="Calibri"/>
      <family val="2"/>
      <scheme val="minor"/>
    </font>
    <font>
      <i/>
      <sz val="9"/>
      <name val="Calibri"/>
      <family val="2"/>
      <scheme val="minor"/>
    </font>
    <font>
      <sz val="14"/>
      <color rgb="FFFF0000"/>
      <name val="Calibri"/>
      <family val="2"/>
      <scheme val="minor"/>
    </font>
    <font>
      <sz val="14"/>
      <color rgb="FF0070C0"/>
      <name val="Calibri"/>
      <family val="2"/>
      <scheme val="minor"/>
    </font>
    <font>
      <i/>
      <sz val="16"/>
      <color theme="1" tint="0.499984740745262"/>
      <name val="Calibri"/>
      <family val="2"/>
    </font>
    <font>
      <sz val="11"/>
      <color theme="9" tint="-0.499984740745262"/>
      <name val="Calibri"/>
      <family val="3"/>
      <charset val="128"/>
      <scheme val="minor"/>
    </font>
    <font>
      <sz val="12"/>
      <color theme="1"/>
      <name val="Calibri"/>
      <family val="3"/>
      <charset val="128"/>
      <scheme val="minor"/>
    </font>
    <font>
      <b/>
      <sz val="16"/>
      <color rgb="FF0070C0"/>
      <name val="Calibri"/>
      <family val="2"/>
    </font>
    <font>
      <sz val="11"/>
      <color rgb="FF009900"/>
      <name val="Calibri"/>
      <family val="2"/>
    </font>
    <font>
      <sz val="11"/>
      <color rgb="FF009900"/>
      <name val="Calibri"/>
      <family val="2"/>
      <scheme val="minor"/>
    </font>
    <font>
      <sz val="14"/>
      <color rgb="FF0070C0"/>
      <name val="Calibri"/>
      <family val="2"/>
    </font>
    <font>
      <sz val="10"/>
      <color theme="0" tint="-0.499984740745262"/>
      <name val="Calibri"/>
      <family val="2"/>
      <scheme val="minor"/>
    </font>
    <font>
      <sz val="10"/>
      <color rgb="FF0070C0"/>
      <name val="Calibri"/>
      <family val="2"/>
      <scheme val="minor"/>
    </font>
    <font>
      <sz val="11"/>
      <color theme="4"/>
      <name val="Calibri"/>
      <family val="2"/>
    </font>
    <font>
      <b/>
      <sz val="14"/>
      <color rgb="FF0070C0"/>
      <name val="Calibri"/>
      <family val="2"/>
      <scheme val="minor"/>
    </font>
    <font>
      <b/>
      <sz val="10"/>
      <color theme="1"/>
      <name val="Calibri"/>
      <family val="2"/>
      <scheme val="minor"/>
    </font>
    <font>
      <sz val="10"/>
      <color rgb="FF0070C0"/>
      <name val="Calibri"/>
      <family val="2"/>
    </font>
    <font>
      <sz val="14"/>
      <color rgb="FFFF0000"/>
      <name val="Calibri"/>
      <family val="3"/>
      <charset val="128"/>
      <scheme val="minor"/>
    </font>
    <font>
      <sz val="14"/>
      <color theme="1"/>
      <name val="Calibri"/>
      <family val="2"/>
      <scheme val="minor"/>
    </font>
    <font>
      <sz val="24"/>
      <name val="Calibri"/>
      <family val="2"/>
      <scheme val="minor"/>
    </font>
    <font>
      <sz val="11"/>
      <color theme="1" tint="0.499984740745262"/>
      <name val="Calibri"/>
      <family val="2"/>
      <scheme val="minor"/>
    </font>
    <font>
      <b/>
      <sz val="20"/>
      <color indexed="17"/>
      <name val="Calibri"/>
      <family val="2"/>
    </font>
    <font>
      <b/>
      <sz val="22"/>
      <color indexed="30"/>
      <name val="Calibri"/>
      <family val="2"/>
    </font>
    <font>
      <sz val="12"/>
      <name val="Calibri"/>
      <family val="3"/>
      <charset val="128"/>
    </font>
    <font>
      <b/>
      <sz val="11"/>
      <name val="Calibri"/>
      <family val="3"/>
      <charset val="128"/>
      <scheme val="minor"/>
    </font>
    <font>
      <i/>
      <sz val="11"/>
      <color theme="1"/>
      <name val="Calibri"/>
      <family val="3"/>
      <charset val="128"/>
      <scheme val="minor"/>
    </font>
    <font>
      <sz val="8"/>
      <color theme="0" tint="-0.499984740745262"/>
      <name val="Calibri"/>
      <family val="2"/>
      <scheme val="minor"/>
    </font>
    <font>
      <sz val="20"/>
      <color theme="1"/>
      <name val="Calibri"/>
      <family val="2"/>
      <scheme val="minor"/>
    </font>
    <font>
      <sz val="14"/>
      <color rgb="FF00B050"/>
      <name val="Calibri"/>
      <family val="2"/>
      <scheme val="minor"/>
    </font>
    <font>
      <sz val="11"/>
      <color theme="0" tint="-0.34998626667073579"/>
      <name val="Calibri"/>
      <family val="2"/>
    </font>
    <font>
      <b/>
      <sz val="12"/>
      <name val="Calibri"/>
      <family val="2"/>
      <scheme val="minor"/>
    </font>
    <font>
      <u/>
      <sz val="11"/>
      <color rgb="FF0070C0"/>
      <name val="Calibri"/>
      <family val="3"/>
      <charset val="128"/>
      <scheme val="minor"/>
    </font>
    <font>
      <b/>
      <sz val="12"/>
      <color rgb="FF00B050"/>
      <name val="Calibri"/>
      <family val="2"/>
    </font>
    <font>
      <b/>
      <sz val="12"/>
      <color rgb="FFFFC000"/>
      <name val="Calibri"/>
      <family val="2"/>
    </font>
    <font>
      <b/>
      <sz val="12"/>
      <color rgb="FF7030A0"/>
      <name val="Calibri"/>
      <family val="2"/>
    </font>
    <font>
      <b/>
      <sz val="11"/>
      <color rgb="FF00B050"/>
      <name val="Calibri"/>
      <family val="2"/>
      <scheme val="minor"/>
    </font>
    <font>
      <b/>
      <sz val="11"/>
      <color rgb="FF00B050"/>
      <name val="Calibri"/>
      <family val="2"/>
    </font>
    <font>
      <sz val="11"/>
      <color rgb="FFFFC000"/>
      <name val="Calibri"/>
      <family val="2"/>
    </font>
    <font>
      <b/>
      <sz val="11"/>
      <color rgb="FFFFC000"/>
      <name val="Calibri"/>
      <family val="2"/>
    </font>
    <font>
      <b/>
      <sz val="11"/>
      <color rgb="FF7030A0"/>
      <name val="Calibri"/>
      <family val="2"/>
    </font>
    <font>
      <b/>
      <sz val="12"/>
      <color rgb="FFC00000"/>
      <name val="Calibri"/>
      <family val="2"/>
    </font>
    <font>
      <b/>
      <sz val="12"/>
      <color rgb="FFFF0000"/>
      <name val="Calibri"/>
      <family val="2"/>
    </font>
    <font>
      <b/>
      <sz val="11"/>
      <color rgb="FFFF0000"/>
      <name val="Calibri"/>
      <family val="2"/>
    </font>
    <font>
      <sz val="11"/>
      <color rgb="FFFFC000"/>
      <name val="Calibri"/>
      <family val="2"/>
      <scheme val="minor"/>
    </font>
    <font>
      <sz val="11"/>
      <color rgb="FF7030A0"/>
      <name val="Calibri"/>
      <family val="2"/>
      <scheme val="minor"/>
    </font>
  </fonts>
  <fills count="67">
    <fill>
      <patternFill patternType="none"/>
    </fill>
    <fill>
      <patternFill patternType="gray125"/>
    </fill>
    <fill>
      <patternFill patternType="solid">
        <fgColor indexed="31"/>
      </patternFill>
    </fill>
    <fill>
      <patternFill patternType="solid">
        <fgColor indexed="28"/>
      </patternFill>
    </fill>
    <fill>
      <patternFill patternType="solid">
        <fgColor indexed="45"/>
      </patternFill>
    </fill>
    <fill>
      <patternFill patternType="solid">
        <fgColor indexed="47"/>
      </patternFill>
    </fill>
    <fill>
      <patternFill patternType="solid">
        <fgColor indexed="42"/>
      </patternFill>
    </fill>
    <fill>
      <patternFill patternType="solid">
        <fgColor indexed="43"/>
      </patternFill>
    </fill>
    <fill>
      <patternFill patternType="solid">
        <fgColor indexed="46"/>
      </patternFill>
    </fill>
    <fill>
      <patternFill patternType="solid">
        <fgColor indexed="30"/>
      </patternFill>
    </fill>
    <fill>
      <patternFill patternType="solid">
        <fgColor indexed="27"/>
      </patternFill>
    </fill>
    <fill>
      <patternFill patternType="solid">
        <fgColor indexed="44"/>
      </patternFill>
    </fill>
    <fill>
      <patternFill patternType="solid">
        <fgColor indexed="29"/>
      </patternFill>
    </fill>
    <fill>
      <patternFill patternType="solid">
        <fgColor indexed="11"/>
      </patternFill>
    </fill>
    <fill>
      <patternFill patternType="solid">
        <fgColor indexed="22"/>
      </patternFill>
    </fill>
    <fill>
      <patternFill patternType="solid">
        <fgColor indexed="51"/>
      </patternFill>
    </fill>
    <fill>
      <patternFill patternType="solid">
        <fgColor indexed="39"/>
      </patternFill>
    </fill>
    <fill>
      <patternFill patternType="solid">
        <fgColor indexed="36"/>
      </patternFill>
    </fill>
    <fill>
      <patternFill patternType="solid">
        <fgColor indexed="38"/>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4"/>
      </patternFill>
    </fill>
    <fill>
      <patternFill patternType="solid">
        <fgColor indexed="53"/>
      </patternFill>
    </fill>
    <fill>
      <patternFill patternType="solid">
        <fgColor indexed="43"/>
        <bgColor indexed="64"/>
      </patternFill>
    </fill>
    <fill>
      <patternFill patternType="solid">
        <fgColor indexed="9"/>
      </patternFill>
    </fill>
    <fill>
      <patternFill patternType="solid">
        <fgColor indexed="55"/>
      </patternFill>
    </fill>
    <fill>
      <patternFill patternType="solid">
        <fgColor indexed="44"/>
        <bgColor indexed="64"/>
      </patternFill>
    </fill>
    <fill>
      <patternFill patternType="solid">
        <fgColor indexed="26"/>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7CE"/>
      </patternFill>
    </fill>
    <fill>
      <patternFill patternType="solid">
        <fgColor rgb="FFF2F2F2"/>
      </patternFill>
    </fill>
    <fill>
      <patternFill patternType="solid">
        <fgColor rgb="FFA5A5A5"/>
      </patternFill>
    </fill>
    <fill>
      <patternFill patternType="solid">
        <fgColor rgb="FFC6EFCE"/>
      </patternFill>
    </fill>
    <fill>
      <patternFill patternType="solid">
        <fgColor rgb="FFFFCC99"/>
      </patternFill>
    </fill>
    <fill>
      <patternFill patternType="solid">
        <fgColor rgb="FFFFEB9C"/>
      </patternFill>
    </fill>
    <fill>
      <patternFill patternType="solid">
        <fgColor rgb="FFFFFFCC"/>
      </patternFill>
    </fill>
    <fill>
      <patternFill patternType="solid">
        <fgColor theme="0"/>
        <bgColor indexed="64"/>
      </patternFill>
    </fill>
    <fill>
      <patternFill patternType="solid">
        <fgColor theme="8" tint="0.79998168889431442"/>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9" tint="0.79998168889431442"/>
        <bgColor indexed="64"/>
      </patternFill>
    </fill>
  </fills>
  <borders count="110">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49"/>
      </bottom>
      <diagonal/>
    </border>
    <border>
      <left/>
      <right/>
      <top/>
      <bottom style="thick">
        <color indexed="22"/>
      </bottom>
      <diagonal/>
    </border>
    <border>
      <left/>
      <right/>
      <top/>
      <bottom style="thick">
        <color indexed="28"/>
      </bottom>
      <diagonal/>
    </border>
    <border>
      <left/>
      <right/>
      <top/>
      <bottom style="medium">
        <color indexed="30"/>
      </bottom>
      <diagonal/>
    </border>
    <border>
      <left/>
      <right/>
      <top/>
      <bottom style="medium">
        <color indexed="28"/>
      </bottom>
      <diagonal/>
    </border>
    <border>
      <left/>
      <right/>
      <top/>
      <bottom style="double">
        <color indexed="52"/>
      </bottom>
      <diagonal/>
    </border>
    <border>
      <left/>
      <right/>
      <top/>
      <bottom style="double">
        <color indexed="37"/>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style="thin">
        <color indexed="49"/>
      </top>
      <bottom style="double">
        <color indexed="49"/>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bottom/>
      <diagonal/>
    </border>
    <border>
      <left style="thin">
        <color indexed="64"/>
      </left>
      <right/>
      <top style="thin">
        <color indexed="64"/>
      </top>
      <bottom/>
      <diagonal/>
    </border>
    <border>
      <left/>
      <right/>
      <top style="thin">
        <color indexed="23"/>
      </top>
      <bottom/>
      <diagonal/>
    </border>
    <border>
      <left style="thin">
        <color indexed="23"/>
      </left>
      <right style="thin">
        <color indexed="23"/>
      </right>
      <top style="thin">
        <color indexed="23"/>
      </top>
      <bottom/>
      <diagonal/>
    </border>
    <border>
      <left style="thin">
        <color indexed="23"/>
      </left>
      <right style="thin">
        <color indexed="23"/>
      </right>
      <top/>
      <bottom/>
      <diagonal/>
    </border>
    <border>
      <left style="thin">
        <color indexed="23"/>
      </left>
      <right style="thin">
        <color indexed="23"/>
      </right>
      <top/>
      <bottom style="thin">
        <color indexed="23"/>
      </bottom>
      <diagonal/>
    </border>
    <border>
      <left style="thin">
        <color indexed="64"/>
      </left>
      <right style="thin">
        <color indexed="23"/>
      </right>
      <top style="thin">
        <color indexed="23"/>
      </top>
      <bottom style="thin">
        <color indexed="23"/>
      </bottom>
      <diagonal/>
    </border>
    <border>
      <left style="thin">
        <color indexed="64"/>
      </left>
      <right style="thin">
        <color indexed="23"/>
      </right>
      <top style="thin">
        <color indexed="23"/>
      </top>
      <bottom/>
      <diagonal/>
    </border>
    <border>
      <left style="thin">
        <color indexed="64"/>
      </left>
      <right style="thin">
        <color indexed="23"/>
      </right>
      <top/>
      <bottom/>
      <diagonal/>
    </border>
    <border>
      <left style="thin">
        <color indexed="64"/>
      </left>
      <right style="thin">
        <color indexed="23"/>
      </right>
      <top/>
      <bottom style="thin">
        <color indexed="23"/>
      </bottom>
      <diagonal/>
    </border>
    <border>
      <left style="thin">
        <color indexed="23"/>
      </left>
      <right/>
      <top/>
      <bottom/>
      <diagonal/>
    </border>
    <border>
      <left/>
      <right/>
      <top style="thin">
        <color indexed="23"/>
      </top>
      <bottom style="thin">
        <color indexed="23"/>
      </bottom>
      <diagonal/>
    </border>
    <border>
      <left/>
      <right style="thin">
        <color indexed="23"/>
      </right>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10"/>
      </left>
      <right/>
      <top style="thin">
        <color indexed="10"/>
      </top>
      <bottom/>
      <diagonal/>
    </border>
    <border>
      <left/>
      <right style="thin">
        <color indexed="10"/>
      </right>
      <top style="thin">
        <color indexed="10"/>
      </top>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23"/>
      </left>
      <right/>
      <top style="thin">
        <color indexed="23"/>
      </top>
      <bottom style="thin">
        <color indexed="64"/>
      </bottom>
      <diagonal/>
    </border>
    <border>
      <left/>
      <right style="thin">
        <color indexed="23"/>
      </right>
      <top style="thin">
        <color indexed="23"/>
      </top>
      <bottom style="thin">
        <color indexed="64"/>
      </bottom>
      <diagonal/>
    </border>
    <border>
      <left style="thin">
        <color indexed="23"/>
      </left>
      <right/>
      <top/>
      <bottom style="thin">
        <color indexed="23"/>
      </bottom>
      <diagonal/>
    </border>
    <border>
      <left/>
      <right style="thin">
        <color indexed="23"/>
      </right>
      <top/>
      <bottom style="thin">
        <color indexed="23"/>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44"/>
      </right>
      <top/>
      <bottom style="thin">
        <color indexed="44"/>
      </bottom>
      <diagonal/>
    </border>
    <border>
      <left style="thin">
        <color indexed="44"/>
      </left>
      <right style="thin">
        <color indexed="64"/>
      </right>
      <top/>
      <bottom style="thin">
        <color indexed="44"/>
      </bottom>
      <diagonal/>
    </border>
    <border>
      <left/>
      <right style="thin">
        <color indexed="44"/>
      </right>
      <top style="thin">
        <color indexed="44"/>
      </top>
      <bottom style="thin">
        <color indexed="44"/>
      </bottom>
      <diagonal/>
    </border>
    <border>
      <left style="thin">
        <color indexed="44"/>
      </left>
      <right style="thin">
        <color indexed="64"/>
      </right>
      <top style="thin">
        <color indexed="44"/>
      </top>
      <bottom style="thin">
        <color indexed="44"/>
      </bottom>
      <diagonal/>
    </border>
    <border>
      <left/>
      <right style="thin">
        <color indexed="44"/>
      </right>
      <top style="thin">
        <color indexed="44"/>
      </top>
      <bottom/>
      <diagonal/>
    </border>
    <border>
      <left style="thin">
        <color indexed="44"/>
      </left>
      <right style="thin">
        <color indexed="64"/>
      </right>
      <top style="thin">
        <color indexed="44"/>
      </top>
      <bottom/>
      <diagonal/>
    </border>
    <border>
      <left/>
      <right style="thin">
        <color indexed="23"/>
      </right>
      <top style="thin">
        <color indexed="23"/>
      </top>
      <bottom style="thin">
        <color indexed="23"/>
      </bottom>
      <diagonal/>
    </border>
    <border>
      <left style="thin">
        <color indexed="23"/>
      </left>
      <right/>
      <top style="thin">
        <color indexed="23"/>
      </top>
      <bottom style="thin">
        <color indexed="23"/>
      </bottom>
      <diagonal/>
    </border>
    <border>
      <left style="thin">
        <color indexed="23"/>
      </left>
      <right style="thin">
        <color indexed="23"/>
      </right>
      <top style="thin">
        <color indexed="23"/>
      </top>
      <bottom style="thin">
        <color indexed="64"/>
      </bottom>
      <diagonal/>
    </border>
    <border>
      <left style="thin">
        <color indexed="44"/>
      </left>
      <right/>
      <top/>
      <bottom style="thin">
        <color indexed="44"/>
      </bottom>
      <diagonal/>
    </border>
    <border>
      <left style="thin">
        <color indexed="64"/>
      </left>
      <right style="thin">
        <color indexed="44"/>
      </right>
      <top/>
      <bottom style="thin">
        <color indexed="44"/>
      </bottom>
      <diagonal/>
    </border>
    <border>
      <left style="thin">
        <color indexed="44"/>
      </left>
      <right style="thin">
        <color indexed="44"/>
      </right>
      <top style="thin">
        <color indexed="44"/>
      </top>
      <bottom style="thin">
        <color indexed="44"/>
      </bottom>
      <diagonal/>
    </border>
    <border>
      <left style="thin">
        <color indexed="44"/>
      </left>
      <right/>
      <top style="thin">
        <color indexed="44"/>
      </top>
      <bottom style="thin">
        <color indexed="44"/>
      </bottom>
      <diagonal/>
    </border>
    <border>
      <left style="thin">
        <color indexed="64"/>
      </left>
      <right style="thin">
        <color indexed="44"/>
      </right>
      <top style="thin">
        <color indexed="44"/>
      </top>
      <bottom style="thin">
        <color indexed="44"/>
      </bottom>
      <diagonal/>
    </border>
    <border>
      <left style="thin">
        <color indexed="64"/>
      </left>
      <right style="thin">
        <color indexed="44"/>
      </right>
      <top style="thin">
        <color indexed="44"/>
      </top>
      <bottom/>
      <diagonal/>
    </border>
    <border>
      <left style="thin">
        <color indexed="44"/>
      </left>
      <right style="thin">
        <color indexed="44"/>
      </right>
      <top style="thin">
        <color indexed="44"/>
      </top>
      <bottom/>
      <diagonal/>
    </border>
    <border>
      <left style="thin">
        <color indexed="44"/>
      </left>
      <right/>
      <top style="thin">
        <color indexed="44"/>
      </top>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style="thin">
        <color theme="0" tint="-0.499984740745262"/>
      </left>
      <right/>
      <top style="thin">
        <color theme="0" tint="-0.499984740745262"/>
      </top>
      <bottom style="thin">
        <color indexed="64"/>
      </bottom>
      <diagonal/>
    </border>
    <border>
      <left/>
      <right/>
      <top style="thin">
        <color theme="0" tint="-0.499984740745262"/>
      </top>
      <bottom style="thin">
        <color indexed="64"/>
      </bottom>
      <diagonal/>
    </border>
    <border>
      <left/>
      <right style="thin">
        <color theme="0" tint="-0.499984740745262"/>
      </right>
      <top style="thin">
        <color theme="0" tint="-0.499984740745262"/>
      </top>
      <bottom style="thin">
        <color indexed="64"/>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indexed="64"/>
      </left>
      <right style="thin">
        <color indexed="64"/>
      </right>
      <top style="thin">
        <color indexed="64"/>
      </top>
      <bottom style="thin">
        <color theme="0" tint="-0.24994659260841701"/>
      </bottom>
      <diagonal/>
    </border>
    <border>
      <left style="thin">
        <color indexed="64"/>
      </left>
      <right style="thin">
        <color indexed="64"/>
      </right>
      <top style="thin">
        <color theme="0" tint="-0.24994659260841701"/>
      </top>
      <bottom style="thin">
        <color theme="0" tint="-0.24994659260841701"/>
      </bottom>
      <diagonal/>
    </border>
    <border>
      <left style="thin">
        <color indexed="64"/>
      </left>
      <right style="thin">
        <color indexed="64"/>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indexed="64"/>
      </bottom>
      <diagonal/>
    </border>
    <border>
      <left style="thin">
        <color theme="0" tint="-0.24994659260841701"/>
      </left>
      <right style="thin">
        <color indexed="64"/>
      </right>
      <top style="thin">
        <color theme="0" tint="-0.24994659260841701"/>
      </top>
      <bottom style="thin">
        <color indexed="64"/>
      </bottom>
      <diagonal/>
    </border>
    <border>
      <left style="thin">
        <color theme="0" tint="-0.24994659260841701"/>
      </left>
      <right/>
      <top style="thin">
        <color theme="0" tint="-0.24994659260841701"/>
      </top>
      <bottom style="thin">
        <color theme="0" tint="-0.24994659260841701"/>
      </bottom>
      <diagonal/>
    </border>
    <border>
      <left style="thin">
        <color theme="0" tint="-0.24994659260841701"/>
      </left>
      <right style="thin">
        <color indexed="64"/>
      </right>
      <top/>
      <bottom style="thin">
        <color theme="0" tint="-0.24994659260841701"/>
      </bottom>
      <diagonal/>
    </border>
    <border>
      <left style="thin">
        <color indexed="64"/>
      </left>
      <right style="thin">
        <color theme="0" tint="-0.24994659260841701"/>
      </right>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theme="0" tint="-0.14993743705557422"/>
      </left>
      <right style="thin">
        <color theme="0" tint="-0.14993743705557422"/>
      </right>
      <top style="thin">
        <color theme="0" tint="-0.14993743705557422"/>
      </top>
      <bottom style="thin">
        <color theme="0" tint="-0.14996795556505021"/>
      </bottom>
      <diagonal/>
    </border>
    <border>
      <left style="thin">
        <color theme="0" tint="-0.14993743705557422"/>
      </left>
      <right style="thin">
        <color theme="0" tint="-0.14993743705557422"/>
      </right>
      <top style="thin">
        <color theme="0" tint="-0.14993743705557422"/>
      </top>
      <bottom style="thin">
        <color theme="0" tint="-0.14993743705557422"/>
      </bottom>
      <diagonal/>
    </border>
    <border>
      <left/>
      <right style="thin">
        <color theme="0" tint="-0.14993743705557422"/>
      </right>
      <top style="thin">
        <color theme="0" tint="-0.14993743705557422"/>
      </top>
      <bottom style="thin">
        <color theme="0" tint="-0.14993743705557422"/>
      </bottom>
      <diagonal/>
    </border>
    <border>
      <left/>
      <right style="thin">
        <color theme="0" tint="-0.14993743705557422"/>
      </right>
      <top style="thin">
        <color theme="0" tint="-0.14993743705557422"/>
      </top>
      <bottom style="thin">
        <color theme="0" tint="-0.14996795556505021"/>
      </bottom>
      <diagonal/>
    </border>
    <border>
      <left/>
      <right style="thin">
        <color theme="0" tint="-0.14993743705557422"/>
      </right>
      <top/>
      <bottom style="thin">
        <color theme="0" tint="-0.14993743705557422"/>
      </bottom>
      <diagonal/>
    </border>
    <border>
      <left style="thin">
        <color theme="0" tint="-0.14993743705557422"/>
      </left>
      <right style="thin">
        <color theme="0" tint="-0.14993743705557422"/>
      </right>
      <top/>
      <bottom style="thin">
        <color theme="0" tint="-0.14993743705557422"/>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s>
  <cellStyleXfs count="575">
    <xf numFmtId="0" fontId="0" fillId="0" borderId="0"/>
    <xf numFmtId="0" fontId="51" fillId="3" borderId="0" applyNumberFormat="0" applyBorder="0" applyAlignment="0" applyProtection="0"/>
    <xf numFmtId="0" fontId="201" fillId="31" borderId="0" applyNumberFormat="0" applyBorder="0" applyAlignment="0" applyProtection="0"/>
    <xf numFmtId="0" fontId="11" fillId="2" borderId="0" applyNumberFormat="0" applyBorder="0" applyAlignment="0" applyProtection="0"/>
    <xf numFmtId="0" fontId="28" fillId="2" borderId="0" applyNumberFormat="0" applyBorder="0" applyAlignment="0" applyProtection="0"/>
    <xf numFmtId="0" fontId="8"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11" fillId="2" borderId="0" applyNumberFormat="0" applyBorder="0" applyAlignment="0" applyProtection="0"/>
    <xf numFmtId="0" fontId="51" fillId="5" borderId="0" applyNumberFormat="0" applyBorder="0" applyAlignment="0" applyProtection="0"/>
    <xf numFmtId="0" fontId="201" fillId="32" borderId="0" applyNumberFormat="0" applyBorder="0" applyAlignment="0" applyProtection="0"/>
    <xf numFmtId="0" fontId="11" fillId="4" borderId="0" applyNumberFormat="0" applyBorder="0" applyAlignment="0" applyProtection="0"/>
    <xf numFmtId="0" fontId="28" fillId="4" borderId="0" applyNumberFormat="0" applyBorder="0" applyAlignment="0" applyProtection="0"/>
    <xf numFmtId="0" fontId="8"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11" fillId="4" borderId="0" applyNumberFormat="0" applyBorder="0" applyAlignment="0" applyProtection="0"/>
    <xf numFmtId="0" fontId="51" fillId="7" borderId="0" applyNumberFormat="0" applyBorder="0" applyAlignment="0" applyProtection="0"/>
    <xf numFmtId="0" fontId="201" fillId="33" borderId="0" applyNumberFormat="0" applyBorder="0" applyAlignment="0" applyProtection="0"/>
    <xf numFmtId="0" fontId="11" fillId="6" borderId="0" applyNumberFormat="0" applyBorder="0" applyAlignment="0" applyProtection="0"/>
    <xf numFmtId="0" fontId="28" fillId="6" borderId="0" applyNumberFormat="0" applyBorder="0" applyAlignment="0" applyProtection="0"/>
    <xf numFmtId="0" fontId="8"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11" fillId="6" borderId="0" applyNumberFormat="0" applyBorder="0" applyAlignment="0" applyProtection="0"/>
    <xf numFmtId="0" fontId="51" fillId="9" borderId="0" applyNumberFormat="0" applyBorder="0" applyAlignment="0" applyProtection="0"/>
    <xf numFmtId="0" fontId="201" fillId="34" borderId="0" applyNumberFormat="0" applyBorder="0" applyAlignment="0" applyProtection="0"/>
    <xf numFmtId="0" fontId="11" fillId="8" borderId="0" applyNumberFormat="0" applyBorder="0" applyAlignment="0" applyProtection="0"/>
    <xf numFmtId="0" fontId="28" fillId="8" borderId="0" applyNumberFormat="0" applyBorder="0" applyAlignment="0" applyProtection="0"/>
    <xf numFmtId="0" fontId="8"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51" fillId="3" borderId="0" applyNumberFormat="0" applyBorder="0" applyAlignment="0" applyProtection="0"/>
    <xf numFmtId="0" fontId="201" fillId="35" borderId="0" applyNumberFormat="0" applyBorder="0" applyAlignment="0" applyProtection="0"/>
    <xf numFmtId="0" fontId="11" fillId="10" borderId="0" applyNumberFormat="0" applyBorder="0" applyAlignment="0" applyProtection="0"/>
    <xf numFmtId="0" fontId="28" fillId="10" borderId="0" applyNumberFormat="0" applyBorder="0" applyAlignment="0" applyProtection="0"/>
    <xf numFmtId="0" fontId="8"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11" fillId="10" borderId="0" applyNumberFormat="0" applyBorder="0" applyAlignment="0" applyProtection="0"/>
    <xf numFmtId="0" fontId="51" fillId="5" borderId="0" applyNumberFormat="0" applyBorder="0" applyAlignment="0" applyProtection="0"/>
    <xf numFmtId="0" fontId="201" fillId="36" borderId="0" applyNumberFormat="0" applyBorder="0" applyAlignment="0" applyProtection="0"/>
    <xf numFmtId="0" fontId="11" fillId="5" borderId="0" applyNumberFormat="0" applyBorder="0" applyAlignment="0" applyProtection="0"/>
    <xf numFmtId="0" fontId="28" fillId="5" borderId="0" applyNumberFormat="0" applyBorder="0" applyAlignment="0" applyProtection="0"/>
    <xf numFmtId="0" fontId="8"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11" fillId="5" borderId="0" applyNumberFormat="0" applyBorder="0" applyAlignment="0" applyProtection="0"/>
    <xf numFmtId="0" fontId="51" fillId="3" borderId="0" applyNumberFormat="0" applyBorder="0" applyAlignment="0" applyProtection="0"/>
    <xf numFmtId="0" fontId="201" fillId="37" borderId="0" applyNumberFormat="0" applyBorder="0" applyAlignment="0" applyProtection="0"/>
    <xf numFmtId="0" fontId="11" fillId="11" borderId="0" applyNumberFormat="0" applyBorder="0" applyAlignment="0" applyProtection="0"/>
    <xf numFmtId="0" fontId="28" fillId="11" borderId="0" applyNumberFormat="0" applyBorder="0" applyAlignment="0" applyProtection="0"/>
    <xf numFmtId="0" fontId="8"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51" fillId="5" borderId="0" applyNumberFormat="0" applyBorder="0" applyAlignment="0" applyProtection="0"/>
    <xf numFmtId="0" fontId="201" fillId="38" borderId="0" applyNumberFormat="0" applyBorder="0" applyAlignment="0" applyProtection="0"/>
    <xf numFmtId="0" fontId="11" fillId="12" borderId="0" applyNumberFormat="0" applyBorder="0" applyAlignment="0" applyProtection="0"/>
    <xf numFmtId="0" fontId="28" fillId="12" borderId="0" applyNumberFormat="0" applyBorder="0" applyAlignment="0" applyProtection="0"/>
    <xf numFmtId="0" fontId="8"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11" fillId="12" borderId="0" applyNumberFormat="0" applyBorder="0" applyAlignment="0" applyProtection="0"/>
    <xf numFmtId="0" fontId="51" fillId="7" borderId="0" applyNumberFormat="0" applyBorder="0" applyAlignment="0" applyProtection="0"/>
    <xf numFmtId="0" fontId="201" fillId="39" borderId="0" applyNumberFormat="0" applyBorder="0" applyAlignment="0" applyProtection="0"/>
    <xf numFmtId="0" fontId="11" fillId="13" borderId="0" applyNumberFormat="0" applyBorder="0" applyAlignment="0" applyProtection="0"/>
    <xf numFmtId="0" fontId="28" fillId="13" borderId="0" applyNumberFormat="0" applyBorder="0" applyAlignment="0" applyProtection="0"/>
    <xf numFmtId="0" fontId="8"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51" fillId="14" borderId="0" applyNumberFormat="0" applyBorder="0" applyAlignment="0" applyProtection="0"/>
    <xf numFmtId="0" fontId="201" fillId="40" borderId="0" applyNumberFormat="0" applyBorder="0" applyAlignment="0" applyProtection="0"/>
    <xf numFmtId="0" fontId="11" fillId="8" borderId="0" applyNumberFormat="0" applyBorder="0" applyAlignment="0" applyProtection="0"/>
    <xf numFmtId="0" fontId="28" fillId="8" borderId="0" applyNumberFormat="0" applyBorder="0" applyAlignment="0" applyProtection="0"/>
    <xf numFmtId="0" fontId="8"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11" fillId="8" borderId="0" applyNumberFormat="0" applyBorder="0" applyAlignment="0" applyProtection="0"/>
    <xf numFmtId="0" fontId="51" fillId="3" borderId="0" applyNumberFormat="0" applyBorder="0" applyAlignment="0" applyProtection="0"/>
    <xf numFmtId="0" fontId="201" fillId="41" borderId="0" applyNumberFormat="0" applyBorder="0" applyAlignment="0" applyProtection="0"/>
    <xf numFmtId="0" fontId="11" fillId="11" borderId="0" applyNumberFormat="0" applyBorder="0" applyAlignment="0" applyProtection="0"/>
    <xf numFmtId="0" fontId="28" fillId="11" borderId="0" applyNumberFormat="0" applyBorder="0" applyAlignment="0" applyProtection="0"/>
    <xf numFmtId="0" fontId="8"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11" fillId="11" borderId="0" applyNumberFormat="0" applyBorder="0" applyAlignment="0" applyProtection="0"/>
    <xf numFmtId="0" fontId="51" fillId="5" borderId="0" applyNumberFormat="0" applyBorder="0" applyAlignment="0" applyProtection="0"/>
    <xf numFmtId="0" fontId="201" fillId="42" borderId="0" applyNumberFormat="0" applyBorder="0" applyAlignment="0" applyProtection="0"/>
    <xf numFmtId="0" fontId="11" fillId="15" borderId="0" applyNumberFormat="0" applyBorder="0" applyAlignment="0" applyProtection="0"/>
    <xf numFmtId="0" fontId="28" fillId="15" borderId="0" applyNumberFormat="0" applyBorder="0" applyAlignment="0" applyProtection="0"/>
    <xf numFmtId="0" fontId="8"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11" fillId="15" borderId="0" applyNumberFormat="0" applyBorder="0" applyAlignment="0" applyProtection="0"/>
    <xf numFmtId="0" fontId="55" fillId="3" borderId="0" applyNumberFormat="0" applyBorder="0" applyAlignment="0" applyProtection="0"/>
    <xf numFmtId="0" fontId="203" fillId="43" borderId="0" applyNumberFormat="0" applyBorder="0" applyAlignment="0" applyProtection="0"/>
    <xf numFmtId="0" fontId="12" fillId="9" borderId="0" applyNumberFormat="0" applyBorder="0" applyAlignment="0" applyProtection="0"/>
    <xf numFmtId="0" fontId="30"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12" fillId="9" borderId="0" applyNumberFormat="0" applyBorder="0" applyAlignment="0" applyProtection="0"/>
    <xf numFmtId="0" fontId="55" fillId="5" borderId="0" applyNumberFormat="0" applyBorder="0" applyAlignment="0" applyProtection="0"/>
    <xf numFmtId="0" fontId="203" fillId="44" borderId="0" applyNumberFormat="0" applyBorder="0" applyAlignment="0" applyProtection="0"/>
    <xf numFmtId="0" fontId="12" fillId="12" borderId="0" applyNumberFormat="0" applyBorder="0" applyAlignment="0" applyProtection="0"/>
    <xf numFmtId="0" fontId="30"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12" fillId="12" borderId="0" applyNumberFormat="0" applyBorder="0" applyAlignment="0" applyProtection="0"/>
    <xf numFmtId="0" fontId="55" fillId="16" borderId="0" applyNumberFormat="0" applyBorder="0" applyAlignment="0" applyProtection="0"/>
    <xf numFmtId="0" fontId="203" fillId="45" borderId="0" applyNumberFormat="0" applyBorder="0" applyAlignment="0" applyProtection="0"/>
    <xf numFmtId="0" fontId="12" fillId="13" borderId="0" applyNumberFormat="0" applyBorder="0" applyAlignment="0" applyProtection="0"/>
    <xf numFmtId="0" fontId="30"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12" fillId="13" borderId="0" applyNumberFormat="0" applyBorder="0" applyAlignment="0" applyProtection="0"/>
    <xf numFmtId="0" fontId="55" fillId="18" borderId="0" applyNumberFormat="0" applyBorder="0" applyAlignment="0" applyProtection="0"/>
    <xf numFmtId="0" fontId="203" fillId="46" borderId="0" applyNumberFormat="0" applyBorder="0" applyAlignment="0" applyProtection="0"/>
    <xf numFmtId="0" fontId="12" fillId="17" borderId="0" applyNumberFormat="0" applyBorder="0" applyAlignment="0" applyProtection="0"/>
    <xf numFmtId="0" fontId="30"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55" fillId="3" borderId="0" applyNumberFormat="0" applyBorder="0" applyAlignment="0" applyProtection="0"/>
    <xf numFmtId="0" fontId="203" fillId="47" borderId="0" applyNumberFormat="0" applyBorder="0" applyAlignment="0" applyProtection="0"/>
    <xf numFmtId="0" fontId="12" fillId="19" borderId="0" applyNumberFormat="0" applyBorder="0" applyAlignment="0" applyProtection="0"/>
    <xf numFmtId="0" fontId="30"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55" fillId="5" borderId="0" applyNumberFormat="0" applyBorder="0" applyAlignment="0" applyProtection="0"/>
    <xf numFmtId="0" fontId="203" fillId="48" borderId="0" applyNumberFormat="0" applyBorder="0" applyAlignment="0" applyProtection="0"/>
    <xf numFmtId="0" fontId="12" fillId="20" borderId="0" applyNumberFormat="0" applyBorder="0" applyAlignment="0" applyProtection="0"/>
    <xf numFmtId="0" fontId="30"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12" fillId="20" borderId="0" applyNumberFormat="0" applyBorder="0" applyAlignment="0" applyProtection="0"/>
    <xf numFmtId="0" fontId="55" fillId="19" borderId="0" applyNumberFormat="0" applyBorder="0" applyAlignment="0" applyProtection="0"/>
    <xf numFmtId="0" fontId="203" fillId="49" borderId="0" applyNumberFormat="0" applyBorder="0" applyAlignment="0" applyProtection="0"/>
    <xf numFmtId="0" fontId="12" fillId="21" borderId="0" applyNumberFormat="0" applyBorder="0" applyAlignment="0" applyProtection="0"/>
    <xf numFmtId="0" fontId="30"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12" fillId="21" borderId="0" applyNumberFormat="0" applyBorder="0" applyAlignment="0" applyProtection="0"/>
    <xf numFmtId="0" fontId="55" fillId="22" borderId="0" applyNumberFormat="0" applyBorder="0" applyAlignment="0" applyProtection="0"/>
    <xf numFmtId="0" fontId="203" fillId="50" borderId="0" applyNumberFormat="0" applyBorder="0" applyAlignment="0" applyProtection="0"/>
    <xf numFmtId="0" fontId="12" fillId="22" borderId="0" applyNumberFormat="0" applyBorder="0" applyAlignment="0" applyProtection="0"/>
    <xf numFmtId="0" fontId="30"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12" fillId="22" borderId="0" applyNumberFormat="0" applyBorder="0" applyAlignment="0" applyProtection="0"/>
    <xf numFmtId="0" fontId="55" fillId="17" borderId="0" applyNumberFormat="0" applyBorder="0" applyAlignment="0" applyProtection="0"/>
    <xf numFmtId="0" fontId="203" fillId="51" borderId="0" applyNumberFormat="0" applyBorder="0" applyAlignment="0" applyProtection="0"/>
    <xf numFmtId="0" fontId="12" fillId="23" borderId="0" applyNumberFormat="0" applyBorder="0" applyAlignment="0" applyProtection="0"/>
    <xf numFmtId="0" fontId="30"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12" fillId="23" borderId="0" applyNumberFormat="0" applyBorder="0" applyAlignment="0" applyProtection="0"/>
    <xf numFmtId="0" fontId="55" fillId="24" borderId="0" applyNumberFormat="0" applyBorder="0" applyAlignment="0" applyProtection="0"/>
    <xf numFmtId="0" fontId="203" fillId="52" borderId="0" applyNumberFormat="0" applyBorder="0" applyAlignment="0" applyProtection="0"/>
    <xf numFmtId="0" fontId="12" fillId="17" borderId="0" applyNumberFormat="0" applyBorder="0" applyAlignment="0" applyProtection="0"/>
    <xf numFmtId="0" fontId="30"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12" fillId="17" borderId="0" applyNumberFormat="0" applyBorder="0" applyAlignment="0" applyProtection="0"/>
    <xf numFmtId="0" fontId="55" fillId="19" borderId="0" applyNumberFormat="0" applyBorder="0" applyAlignment="0" applyProtection="0"/>
    <xf numFmtId="0" fontId="203" fillId="53" borderId="0" applyNumberFormat="0" applyBorder="0" applyAlignment="0" applyProtection="0"/>
    <xf numFmtId="0" fontId="12" fillId="19" borderId="0" applyNumberFormat="0" applyBorder="0" applyAlignment="0" applyProtection="0"/>
    <xf numFmtId="0" fontId="30"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12" fillId="19" borderId="0" applyNumberFormat="0" applyBorder="0" applyAlignment="0" applyProtection="0"/>
    <xf numFmtId="0" fontId="55" fillId="25" borderId="0" applyNumberFormat="0" applyBorder="0" applyAlignment="0" applyProtection="0"/>
    <xf numFmtId="0" fontId="203" fillId="54" borderId="0" applyNumberFormat="0" applyBorder="0" applyAlignment="0" applyProtection="0"/>
    <xf numFmtId="0" fontId="12" fillId="25" borderId="0" applyNumberFormat="0" applyBorder="0" applyAlignment="0" applyProtection="0"/>
    <xf numFmtId="0" fontId="30"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12" fillId="25" borderId="0" applyNumberFormat="0" applyBorder="0" applyAlignment="0" applyProtection="0"/>
    <xf numFmtId="0" fontId="56" fillId="4" borderId="0" applyNumberFormat="0" applyBorder="0" applyAlignment="0" applyProtection="0"/>
    <xf numFmtId="0" fontId="204" fillId="55" borderId="0" applyNumberFormat="0" applyBorder="0" applyAlignment="0" applyProtection="0"/>
    <xf numFmtId="0" fontId="13" fillId="4" borderId="0" applyNumberFormat="0" applyBorder="0" applyAlignment="0" applyProtection="0"/>
    <xf numFmtId="0" fontId="31"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13" fillId="4" borderId="0" applyNumberFormat="0" applyBorder="0" applyAlignment="0" applyProtection="0"/>
    <xf numFmtId="0" fontId="9" fillId="26" borderId="0" applyNumberFormat="0"/>
    <xf numFmtId="0" fontId="57" fillId="27" borderId="1" applyNumberFormat="0" applyAlignment="0" applyProtection="0"/>
    <xf numFmtId="0" fontId="205" fillId="56" borderId="64" applyNumberFormat="0" applyAlignment="0" applyProtection="0"/>
    <xf numFmtId="0" fontId="14" fillId="14" borderId="1" applyNumberFormat="0" applyAlignment="0" applyProtection="0"/>
    <xf numFmtId="0" fontId="32" fillId="14" borderId="1" applyNumberFormat="0" applyAlignment="0" applyProtection="0"/>
    <xf numFmtId="0" fontId="14" fillId="14" borderId="1" applyNumberFormat="0" applyAlignment="0" applyProtection="0"/>
    <xf numFmtId="0" fontId="14" fillId="14" borderId="1" applyNumberFormat="0" applyAlignment="0" applyProtection="0"/>
    <xf numFmtId="0" fontId="14" fillId="14" borderId="1" applyNumberFormat="0" applyAlignment="0" applyProtection="0"/>
    <xf numFmtId="0" fontId="14" fillId="14" borderId="1" applyNumberFormat="0" applyAlignment="0" applyProtection="0"/>
    <xf numFmtId="0" fontId="14" fillId="14" borderId="1" applyNumberFormat="0" applyAlignment="0" applyProtection="0"/>
    <xf numFmtId="0" fontId="14" fillId="14" borderId="1" applyNumberFormat="0" applyAlignment="0" applyProtection="0"/>
    <xf numFmtId="0" fontId="14" fillId="14" borderId="1" applyNumberFormat="0" applyAlignment="0" applyProtection="0"/>
    <xf numFmtId="0" fontId="58" fillId="28" borderId="2" applyNumberFormat="0" applyAlignment="0" applyProtection="0"/>
    <xf numFmtId="0" fontId="206" fillId="57" borderId="65" applyNumberFormat="0" applyAlignment="0" applyProtection="0"/>
    <xf numFmtId="0" fontId="15" fillId="28" borderId="2" applyNumberFormat="0" applyAlignment="0" applyProtection="0"/>
    <xf numFmtId="0" fontId="33" fillId="28" borderId="2" applyNumberFormat="0" applyAlignment="0" applyProtection="0"/>
    <xf numFmtId="0" fontId="15" fillId="28" borderId="2" applyNumberFormat="0" applyAlignment="0" applyProtection="0"/>
    <xf numFmtId="0" fontId="15" fillId="28" borderId="2" applyNumberFormat="0" applyAlignment="0" applyProtection="0"/>
    <xf numFmtId="0" fontId="15" fillId="28" borderId="2" applyNumberFormat="0" applyAlignment="0" applyProtection="0"/>
    <xf numFmtId="0" fontId="15" fillId="28" borderId="2" applyNumberFormat="0" applyAlignment="0" applyProtection="0"/>
    <xf numFmtId="0" fontId="15" fillId="28" borderId="2" applyNumberFormat="0" applyAlignment="0" applyProtection="0"/>
    <xf numFmtId="0" fontId="15" fillId="28" borderId="2" applyNumberFormat="0" applyAlignment="0" applyProtection="0"/>
    <xf numFmtId="0" fontId="15" fillId="28" borderId="2" applyNumberFormat="0" applyAlignment="0" applyProtection="0"/>
    <xf numFmtId="165" fontId="90" fillId="0" borderId="0" applyFont="0" applyFill="0" applyBorder="0" applyAlignment="0" applyProtection="0"/>
    <xf numFmtId="165" fontId="9" fillId="0" borderId="0" applyFont="0" applyFill="0" applyBorder="0" applyAlignment="0" applyProtection="0"/>
    <xf numFmtId="165" fontId="8" fillId="0" borderId="0" applyFont="0" applyFill="0" applyBorder="0" applyAlignment="0" applyProtection="0"/>
    <xf numFmtId="166" fontId="9" fillId="0" borderId="0" applyFont="0" applyFill="0" applyBorder="0" applyAlignment="0" applyProtection="0"/>
    <xf numFmtId="166" fontId="9" fillId="0" borderId="0" applyFont="0" applyFill="0" applyBorder="0" applyAlignment="0" applyProtection="0"/>
    <xf numFmtId="166" fontId="49" fillId="0" borderId="0" applyFont="0" applyFill="0" applyBorder="0" applyAlignment="0" applyProtection="0"/>
    <xf numFmtId="166" fontId="9" fillId="0" borderId="0" applyFont="0" applyFill="0" applyBorder="0" applyAlignment="0" applyProtection="0"/>
    <xf numFmtId="166" fontId="75" fillId="0" borderId="0" applyFont="0" applyFill="0" applyBorder="0" applyAlignment="0" applyProtection="0"/>
    <xf numFmtId="166" fontId="9" fillId="0" borderId="0" applyFont="0" applyFill="0" applyBorder="0" applyAlignment="0" applyProtection="0"/>
    <xf numFmtId="0" fontId="59" fillId="0" borderId="0" applyNumberFormat="0" applyFill="0" applyBorder="0" applyAlignment="0" applyProtection="0"/>
    <xf numFmtId="0" fontId="207" fillId="0" borderId="0" applyNumberFormat="0" applyFill="0" applyBorder="0" applyAlignment="0" applyProtection="0"/>
    <xf numFmtId="0" fontId="16" fillId="0" borderId="0" applyNumberFormat="0" applyFill="0" applyBorder="0" applyAlignment="0" applyProtection="0"/>
    <xf numFmtId="0" fontId="34"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16" fillId="0" borderId="0" applyNumberFormat="0" applyFill="0" applyBorder="0" applyAlignment="0" applyProtection="0"/>
    <xf numFmtId="0" fontId="53" fillId="6" borderId="0" applyNumberFormat="0" applyBorder="0" applyAlignment="0" applyProtection="0"/>
    <xf numFmtId="0" fontId="208" fillId="58" borderId="0" applyNumberFormat="0" applyBorder="0" applyAlignment="0" applyProtection="0"/>
    <xf numFmtId="0" fontId="17" fillId="6" borderId="0" applyNumberFormat="0" applyBorder="0" applyAlignment="0" applyProtection="0"/>
    <xf numFmtId="0" fontId="35"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17" fillId="6" borderId="0" applyNumberFormat="0" applyBorder="0" applyAlignment="0" applyProtection="0"/>
    <xf numFmtId="0" fontId="9" fillId="29" borderId="0" applyNumberFormat="0"/>
    <xf numFmtId="0" fontId="60" fillId="0" borderId="4" applyNumberFormat="0" applyFill="0" applyAlignment="0" applyProtection="0"/>
    <xf numFmtId="0" fontId="209" fillId="0" borderId="66" applyNumberFormat="0" applyFill="0" applyAlignment="0" applyProtection="0"/>
    <xf numFmtId="0" fontId="18" fillId="0" borderId="3" applyNumberFormat="0" applyFill="0" applyAlignment="0" applyProtection="0"/>
    <xf numFmtId="0" fontId="36"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18" fillId="0" borderId="3" applyNumberFormat="0" applyFill="0" applyAlignment="0" applyProtection="0"/>
    <xf numFmtId="0" fontId="61" fillId="0" borderId="6" applyNumberFormat="0" applyFill="0" applyAlignment="0" applyProtection="0"/>
    <xf numFmtId="0" fontId="210" fillId="0" borderId="67" applyNumberFormat="0" applyFill="0" applyAlignment="0" applyProtection="0"/>
    <xf numFmtId="0" fontId="19" fillId="0" borderId="5" applyNumberFormat="0" applyFill="0" applyAlignment="0" applyProtection="0"/>
    <xf numFmtId="0" fontId="37"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19" fillId="0" borderId="5" applyNumberFormat="0" applyFill="0" applyAlignment="0" applyProtection="0"/>
    <xf numFmtId="0" fontId="62" fillId="0" borderId="8" applyNumberFormat="0" applyFill="0" applyAlignment="0" applyProtection="0"/>
    <xf numFmtId="0" fontId="211" fillId="0" borderId="68" applyNumberFormat="0" applyFill="0" applyAlignment="0" applyProtection="0"/>
    <xf numFmtId="0" fontId="20" fillId="0" borderId="7" applyNumberFormat="0" applyFill="0" applyAlignment="0" applyProtection="0"/>
    <xf numFmtId="0" fontId="38"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20" fillId="0" borderId="7" applyNumberFormat="0" applyFill="0" applyAlignment="0" applyProtection="0"/>
    <xf numFmtId="0" fontId="62" fillId="0" borderId="0" applyNumberFormat="0" applyFill="0" applyBorder="0" applyAlignment="0" applyProtection="0"/>
    <xf numFmtId="0" fontId="211" fillId="0" borderId="0" applyNumberFormat="0" applyFill="0" applyBorder="0" applyAlignment="0" applyProtection="0"/>
    <xf numFmtId="0" fontId="20" fillId="0" borderId="0" applyNumberFormat="0" applyFill="0" applyBorder="0" applyAlignment="0" applyProtection="0"/>
    <xf numFmtId="0" fontId="38"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0" fillId="0" borderId="0" applyNumberFormat="0" applyFill="0" applyBorder="0" applyAlignment="0" applyProtection="0"/>
    <xf numFmtId="0" fontId="212" fillId="0" borderId="0" applyNumberFormat="0" applyFill="0" applyBorder="0" applyAlignment="0" applyProtection="0"/>
    <xf numFmtId="0" fontId="213" fillId="0" borderId="0" applyNumberFormat="0" applyFill="0" applyBorder="0" applyAlignment="0" applyProtection="0"/>
    <xf numFmtId="0" fontId="163" fillId="0" borderId="0" applyNumberFormat="0" applyFill="0" applyBorder="0" applyAlignment="0" applyProtection="0">
      <alignment vertical="top"/>
      <protection locked="0"/>
    </xf>
    <xf numFmtId="0" fontId="214" fillId="0" borderId="0" applyNumberFormat="0" applyFill="0" applyBorder="0" applyAlignment="0" applyProtection="0"/>
    <xf numFmtId="0" fontId="212" fillId="0" borderId="0" applyNumberFormat="0" applyFill="0" applyBorder="0" applyAlignment="0" applyProtection="0"/>
    <xf numFmtId="0" fontId="165" fillId="0" borderId="0" applyNumberFormat="0" applyFill="0" applyBorder="0" applyAlignment="0" applyProtection="0">
      <alignment vertical="top"/>
      <protection locked="0"/>
    </xf>
    <xf numFmtId="15" fontId="63" fillId="26" borderId="0" applyNumberFormat="0"/>
    <xf numFmtId="0" fontId="215" fillId="59" borderId="64" applyNumberFormat="0" applyAlignment="0" applyProtection="0"/>
    <xf numFmtId="0" fontId="21" fillId="5" borderId="1" applyNumberFormat="0" applyAlignment="0" applyProtection="0"/>
    <xf numFmtId="0" fontId="39" fillId="5" borderId="1" applyNumberFormat="0" applyAlignment="0" applyProtection="0"/>
    <xf numFmtId="0" fontId="21" fillId="5" borderId="1" applyNumberFormat="0" applyAlignment="0" applyProtection="0"/>
    <xf numFmtId="0" fontId="21" fillId="5" borderId="1" applyNumberFormat="0" applyAlignment="0" applyProtection="0"/>
    <xf numFmtId="0" fontId="21" fillId="5" borderId="1" applyNumberFormat="0" applyAlignment="0" applyProtection="0"/>
    <xf numFmtId="0" fontId="21" fillId="5" borderId="1" applyNumberFormat="0" applyAlignment="0" applyProtection="0"/>
    <xf numFmtId="0" fontId="21" fillId="5" borderId="1" applyNumberFormat="0" applyAlignment="0" applyProtection="0"/>
    <xf numFmtId="0" fontId="21" fillId="5" borderId="1" applyNumberFormat="0" applyAlignment="0" applyProtection="0"/>
    <xf numFmtId="0" fontId="21" fillId="5" borderId="1" applyNumberFormat="0" applyAlignment="0" applyProtection="0"/>
    <xf numFmtId="0" fontId="64" fillId="0" borderId="10" applyNumberFormat="0" applyFill="0" applyAlignment="0" applyProtection="0"/>
    <xf numFmtId="0" fontId="216" fillId="0" borderId="69" applyNumberFormat="0" applyFill="0" applyAlignment="0" applyProtection="0"/>
    <xf numFmtId="0" fontId="22" fillId="0" borderId="9" applyNumberFormat="0" applyFill="0" applyAlignment="0" applyProtection="0"/>
    <xf numFmtId="0" fontId="40"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22" fillId="0" borderId="9" applyNumberFormat="0" applyFill="0" applyAlignment="0" applyProtection="0"/>
    <xf numFmtId="0" fontId="65" fillId="7" borderId="0" applyNumberFormat="0" applyBorder="0" applyAlignment="0" applyProtection="0"/>
    <xf numFmtId="0" fontId="217" fillId="60" borderId="0" applyNumberFormat="0" applyBorder="0" applyAlignment="0" applyProtection="0"/>
    <xf numFmtId="0" fontId="23" fillId="7" borderId="0" applyNumberFormat="0" applyBorder="0" applyAlignment="0" applyProtection="0"/>
    <xf numFmtId="0" fontId="41"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3" fillId="7" borderId="0" applyNumberFormat="0" applyBorder="0" applyAlignment="0" applyProtection="0"/>
    <xf numFmtId="0" fontId="29" fillId="0" borderId="0"/>
    <xf numFmtId="0" fontId="9" fillId="0" borderId="0"/>
    <xf numFmtId="0" fontId="45" fillId="0" borderId="0"/>
    <xf numFmtId="0" fontId="9" fillId="0" borderId="0"/>
    <xf numFmtId="0" fontId="49" fillId="0" borderId="0"/>
    <xf numFmtId="0" fontId="9" fillId="0" borderId="0"/>
    <xf numFmtId="0" fontId="54" fillId="0" borderId="0"/>
    <xf numFmtId="0" fontId="69" fillId="0" borderId="0"/>
    <xf numFmtId="0" fontId="54" fillId="0" borderId="0"/>
    <xf numFmtId="0" fontId="75" fillId="0" borderId="0"/>
    <xf numFmtId="0" fontId="9" fillId="0" borderId="0"/>
    <xf numFmtId="0" fontId="201" fillId="0" borderId="0"/>
    <xf numFmtId="0" fontId="200" fillId="0" borderId="0"/>
    <xf numFmtId="0" fontId="164" fillId="0" borderId="0"/>
    <xf numFmtId="0" fontId="9" fillId="0" borderId="0"/>
    <xf numFmtId="0" fontId="9" fillId="0" borderId="0"/>
    <xf numFmtId="0" fontId="9" fillId="0" borderId="0"/>
    <xf numFmtId="0" fontId="29" fillId="0" borderId="0"/>
    <xf numFmtId="0" fontId="200" fillId="0" borderId="0"/>
    <xf numFmtId="0" fontId="201" fillId="0" borderId="0"/>
    <xf numFmtId="0" fontId="200" fillId="0" borderId="0"/>
    <xf numFmtId="0" fontId="29" fillId="0" borderId="0"/>
    <xf numFmtId="0" fontId="161" fillId="0" borderId="0"/>
    <xf numFmtId="0" fontId="49" fillId="0" borderId="0"/>
    <xf numFmtId="0" fontId="9" fillId="0" borderId="0"/>
    <xf numFmtId="0" fontId="161" fillId="0" borderId="0"/>
    <xf numFmtId="0" fontId="9" fillId="0" borderId="0"/>
    <xf numFmtId="0" fontId="9" fillId="0" borderId="0"/>
    <xf numFmtId="0" fontId="218" fillId="0" borderId="0"/>
    <xf numFmtId="0" fontId="49" fillId="0" borderId="0"/>
    <xf numFmtId="0" fontId="9" fillId="0" borderId="0"/>
    <xf numFmtId="0" fontId="201" fillId="0" borderId="0"/>
    <xf numFmtId="0" fontId="219" fillId="0" borderId="0"/>
    <xf numFmtId="0" fontId="9" fillId="0" borderId="0"/>
    <xf numFmtId="0" fontId="9" fillId="0" borderId="0"/>
    <xf numFmtId="0" fontId="49" fillId="0" borderId="0"/>
    <xf numFmtId="0" fontId="9" fillId="0" borderId="0"/>
    <xf numFmtId="0" fontId="200" fillId="0" borderId="0"/>
    <xf numFmtId="0" fontId="9" fillId="0" borderId="0"/>
    <xf numFmtId="0" fontId="9" fillId="0" borderId="0"/>
    <xf numFmtId="0" fontId="49" fillId="0" borderId="0"/>
    <xf numFmtId="0" fontId="9" fillId="0" borderId="0"/>
    <xf numFmtId="0" fontId="9" fillId="0" borderId="0"/>
    <xf numFmtId="0" fontId="9" fillId="0" borderId="0"/>
    <xf numFmtId="0" fontId="49" fillId="0" borderId="0"/>
    <xf numFmtId="0" fontId="9" fillId="0" borderId="0"/>
    <xf numFmtId="0" fontId="9" fillId="0" borderId="0"/>
    <xf numFmtId="0" fontId="9" fillId="0" borderId="0"/>
    <xf numFmtId="0" fontId="200" fillId="0" borderId="0"/>
    <xf numFmtId="0" fontId="200" fillId="0" borderId="0"/>
    <xf numFmtId="0" fontId="10" fillId="0" borderId="0"/>
    <xf numFmtId="0" fontId="49" fillId="30" borderId="11" applyNumberFormat="0" applyFont="0" applyAlignment="0" applyProtection="0"/>
    <xf numFmtId="0" fontId="9" fillId="30" borderId="11" applyNumberFormat="0" applyFont="0" applyAlignment="0" applyProtection="0"/>
    <xf numFmtId="0" fontId="9" fillId="7"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28" fillId="30" borderId="11" applyNumberFormat="0" applyFont="0" applyAlignment="0" applyProtection="0"/>
    <xf numFmtId="0" fontId="8" fillId="30" borderId="11" applyNumberFormat="0" applyFont="0" applyAlignment="0" applyProtection="0"/>
    <xf numFmtId="0" fontId="49" fillId="30" borderId="11" applyNumberFormat="0" applyFont="0" applyAlignment="0" applyProtection="0"/>
    <xf numFmtId="0" fontId="9" fillId="30" borderId="11" applyNumberFormat="0" applyFont="0" applyAlignment="0" applyProtection="0"/>
    <xf numFmtId="0" fontId="8" fillId="61" borderId="70" applyNumberFormat="0" applyFont="0" applyAlignment="0" applyProtection="0"/>
    <xf numFmtId="0" fontId="200" fillId="61" borderId="70" applyNumberFormat="0" applyFont="0" applyAlignment="0" applyProtection="0"/>
    <xf numFmtId="0" fontId="184" fillId="61" borderId="70"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4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4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4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4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9" fillId="30" borderId="11" applyNumberFormat="0" applyFont="0" applyAlignment="0" applyProtection="0"/>
    <xf numFmtId="0" fontId="66" fillId="27" borderId="12" applyNumberFormat="0" applyAlignment="0" applyProtection="0"/>
    <xf numFmtId="0" fontId="220" fillId="56" borderId="71" applyNumberFormat="0" applyAlignment="0" applyProtection="0"/>
    <xf numFmtId="0" fontId="24" fillId="14" borderId="12" applyNumberFormat="0" applyAlignment="0" applyProtection="0"/>
    <xf numFmtId="0" fontId="42" fillId="14" borderId="12" applyNumberFormat="0" applyAlignment="0" applyProtection="0"/>
    <xf numFmtId="0" fontId="24" fillId="14" borderId="12" applyNumberFormat="0" applyAlignment="0" applyProtection="0"/>
    <xf numFmtId="0" fontId="24" fillId="14" borderId="12" applyNumberFormat="0" applyAlignment="0" applyProtection="0"/>
    <xf numFmtId="0" fontId="24" fillId="14" borderId="12" applyNumberFormat="0" applyAlignment="0" applyProtection="0"/>
    <xf numFmtId="0" fontId="24" fillId="14" borderId="12" applyNumberFormat="0" applyAlignment="0" applyProtection="0"/>
    <xf numFmtId="0" fontId="24" fillId="14" borderId="12" applyNumberFormat="0" applyAlignment="0" applyProtection="0"/>
    <xf numFmtId="0" fontId="24" fillId="14" borderId="12" applyNumberFormat="0" applyAlignment="0" applyProtection="0"/>
    <xf numFmtId="0" fontId="24" fillId="14" borderId="12" applyNumberFormat="0" applyAlignment="0" applyProtection="0"/>
    <xf numFmtId="9" fontId="29" fillId="0" borderId="0" applyFont="0" applyFill="0" applyBorder="0" applyAlignment="0" applyProtection="0"/>
    <xf numFmtId="9" fontId="29" fillId="0" borderId="0" applyFont="0" applyFill="0" applyBorder="0" applyAlignment="0" applyProtection="0"/>
    <xf numFmtId="9" fontId="9" fillId="0" borderId="0" applyFont="0" applyFill="0" applyBorder="0" applyAlignment="0" applyProtection="0"/>
    <xf numFmtId="9" fontId="29" fillId="0" borderId="0" applyFont="0" applyFill="0" applyBorder="0" applyAlignment="0" applyProtection="0"/>
    <xf numFmtId="9" fontId="29" fillId="0" borderId="0" applyFont="0" applyFill="0" applyBorder="0" applyAlignment="0" applyProtection="0"/>
    <xf numFmtId="9" fontId="9" fillId="0" borderId="0" applyFont="0" applyFill="0" applyBorder="0" applyAlignment="0" applyProtection="0"/>
    <xf numFmtId="9" fontId="29" fillId="0" borderId="0" applyFont="0" applyFill="0" applyBorder="0" applyAlignment="0" applyProtection="0"/>
    <xf numFmtId="9" fontId="29" fillId="0" borderId="0" applyFont="0" applyFill="0" applyBorder="0" applyAlignment="0" applyProtection="0"/>
    <xf numFmtId="0" fontId="9" fillId="0" borderId="0"/>
    <xf numFmtId="0" fontId="9" fillId="0" borderId="0" applyNumberFormat="0" applyFill="0" applyBorder="0" applyAlignment="0" applyProtection="0"/>
    <xf numFmtId="0" fontId="9" fillId="0" borderId="0" applyNumberFormat="0" applyFill="0" applyBorder="0" applyAlignment="0" applyProtection="0"/>
    <xf numFmtId="0" fontId="67" fillId="0" borderId="0" applyNumberFormat="0" applyFill="0" applyBorder="0" applyAlignment="0" applyProtection="0"/>
    <xf numFmtId="0" fontId="67" fillId="0" borderId="0" applyNumberFormat="0" applyFill="0" applyBorder="0" applyAlignment="0" applyProtection="0"/>
    <xf numFmtId="0" fontId="221"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25" fillId="0" borderId="0" applyNumberFormat="0" applyFill="0" applyBorder="0" applyAlignment="0" applyProtection="0"/>
    <xf numFmtId="0" fontId="68" fillId="0" borderId="14" applyNumberFormat="0" applyFill="0" applyAlignment="0" applyProtection="0"/>
    <xf numFmtId="0" fontId="222" fillId="0" borderId="72" applyNumberFormat="0" applyFill="0" applyAlignment="0" applyProtection="0"/>
    <xf numFmtId="0" fontId="26" fillId="0" borderId="13" applyNumberFormat="0" applyFill="0" applyAlignment="0" applyProtection="0"/>
    <xf numFmtId="0" fontId="43"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26" fillId="0" borderId="13" applyNumberFormat="0" applyFill="0" applyAlignment="0" applyProtection="0"/>
    <xf numFmtId="0" fontId="52" fillId="0" borderId="0" applyNumberFormat="0" applyFill="0" applyBorder="0" applyAlignment="0" applyProtection="0"/>
    <xf numFmtId="0" fontId="224" fillId="0" borderId="0" applyNumberFormat="0" applyFill="0" applyBorder="0" applyAlignment="0" applyProtection="0"/>
    <xf numFmtId="0" fontId="27" fillId="0" borderId="0" applyNumberFormat="0" applyFill="0" applyBorder="0" applyAlignment="0" applyProtection="0"/>
    <xf numFmtId="0" fontId="44"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27" fillId="0" borderId="0" applyNumberFormat="0" applyFill="0" applyBorder="0" applyAlignment="0" applyProtection="0"/>
    <xf numFmtId="0" fontId="7" fillId="0" borderId="0"/>
    <xf numFmtId="0" fontId="6" fillId="0" borderId="0"/>
    <xf numFmtId="164" fontId="200" fillId="0" borderId="0" applyFont="0" applyFill="0" applyBorder="0" applyAlignment="0" applyProtection="0"/>
    <xf numFmtId="9" fontId="200" fillId="0" borderId="0" applyFont="0" applyFill="0" applyBorder="0" applyAlignment="0" applyProtection="0"/>
  </cellStyleXfs>
  <cellXfs count="2445">
    <xf numFmtId="0" fontId="0" fillId="0" borderId="0" xfId="0"/>
    <xf numFmtId="0" fontId="0" fillId="0" borderId="0" xfId="0" quotePrefix="1" applyFill="1" applyBorder="1"/>
    <xf numFmtId="0" fontId="93" fillId="0" borderId="0" xfId="0" applyFont="1" applyFill="1" applyBorder="1"/>
    <xf numFmtId="0" fontId="101" fillId="0" borderId="0" xfId="0" applyFont="1" applyFill="1" applyBorder="1"/>
    <xf numFmtId="0" fontId="102" fillId="0" borderId="0" xfId="0" applyFont="1" applyFill="1" applyBorder="1"/>
    <xf numFmtId="0" fontId="103" fillId="0" borderId="0" xfId="0" applyFont="1" applyFill="1" applyBorder="1"/>
    <xf numFmtId="0" fontId="0" fillId="0" borderId="15" xfId="0" applyFill="1" applyBorder="1"/>
    <xf numFmtId="0" fontId="0" fillId="0" borderId="16" xfId="0" applyFill="1" applyBorder="1"/>
    <xf numFmtId="0" fontId="0" fillId="0" borderId="17" xfId="0" applyFill="1" applyBorder="1"/>
    <xf numFmtId="0" fontId="0" fillId="0" borderId="18" xfId="0" applyFill="1" applyBorder="1"/>
    <xf numFmtId="0" fontId="0" fillId="0" borderId="19" xfId="0" applyFill="1" applyBorder="1"/>
    <xf numFmtId="0" fontId="0" fillId="0" borderId="20" xfId="0" applyFill="1" applyBorder="1"/>
    <xf numFmtId="0" fontId="99" fillId="0" borderId="15" xfId="0" applyFont="1" applyFill="1" applyBorder="1"/>
    <xf numFmtId="0" fontId="99" fillId="0" borderId="0" xfId="0" applyFont="1" applyFill="1" applyBorder="1"/>
    <xf numFmtId="0" fontId="104" fillId="0" borderId="0" xfId="0" applyFont="1" applyFill="1" applyBorder="1"/>
    <xf numFmtId="0" fontId="99" fillId="0" borderId="21" xfId="0" applyFont="1" applyFill="1" applyBorder="1"/>
    <xf numFmtId="0" fontId="98" fillId="0" borderId="21" xfId="0" applyFont="1" applyFill="1" applyBorder="1"/>
    <xf numFmtId="0" fontId="99" fillId="0" borderId="0" xfId="0" quotePrefix="1" applyFont="1" applyFill="1" applyBorder="1"/>
    <xf numFmtId="0" fontId="105" fillId="0" borderId="0" xfId="0" applyFont="1" applyFill="1" applyBorder="1" applyAlignment="1">
      <alignment horizontal="left" vertical="center"/>
    </xf>
    <xf numFmtId="14" fontId="0" fillId="0" borderId="0" xfId="0" applyNumberFormat="1" applyFill="1" applyBorder="1"/>
    <xf numFmtId="0" fontId="100" fillId="0" borderId="22" xfId="0" applyFont="1" applyFill="1" applyBorder="1" applyAlignment="1">
      <alignment horizontal="left" vertical="center"/>
    </xf>
    <xf numFmtId="0" fontId="94" fillId="0" borderId="0" xfId="0" applyFont="1" applyFill="1" applyBorder="1"/>
    <xf numFmtId="0" fontId="99" fillId="0" borderId="0" xfId="0" applyFont="1" applyFill="1" applyBorder="1" applyAlignment="1"/>
    <xf numFmtId="0" fontId="0" fillId="0" borderId="16" xfId="0" applyFill="1" applyBorder="1" applyAlignment="1">
      <alignment horizontal="center"/>
    </xf>
    <xf numFmtId="0" fontId="0" fillId="0" borderId="17" xfId="0" applyFill="1" applyBorder="1" applyAlignment="1">
      <alignment horizontal="center"/>
    </xf>
    <xf numFmtId="0" fontId="0" fillId="0" borderId="0" xfId="0" applyFont="1" applyFill="1" applyBorder="1"/>
    <xf numFmtId="0" fontId="99" fillId="0" borderId="0" xfId="427" applyFont="1" applyFill="1" applyBorder="1" applyAlignment="1"/>
    <xf numFmtId="0" fontId="99" fillId="0" borderId="0" xfId="427" applyFont="1" applyFill="1" applyBorder="1" applyAlignment="1">
      <alignment horizontal="center"/>
    </xf>
    <xf numFmtId="167" fontId="99" fillId="0" borderId="0" xfId="427" applyNumberFormat="1" applyFont="1" applyFill="1" applyBorder="1" applyAlignment="1"/>
    <xf numFmtId="0" fontId="99" fillId="0" borderId="0" xfId="427" quotePrefix="1" applyFont="1" applyFill="1" applyBorder="1" applyAlignment="1"/>
    <xf numFmtId="0" fontId="0" fillId="0" borderId="22" xfId="0" applyFill="1" applyBorder="1"/>
    <xf numFmtId="174" fontId="0" fillId="0" borderId="0" xfId="0" applyNumberFormat="1" applyFill="1" applyBorder="1"/>
    <xf numFmtId="0" fontId="99" fillId="0" borderId="20" xfId="0" applyFont="1" applyFill="1" applyBorder="1"/>
    <xf numFmtId="0" fontId="99" fillId="0" borderId="18" xfId="0" applyFont="1" applyFill="1" applyBorder="1"/>
    <xf numFmtId="0" fontId="107" fillId="0" borderId="0" xfId="0" applyFont="1" applyFill="1" applyBorder="1"/>
    <xf numFmtId="0" fontId="0" fillId="0" borderId="18" xfId="0" applyFont="1" applyFill="1" applyBorder="1"/>
    <xf numFmtId="167" fontId="99" fillId="0" borderId="0" xfId="0" applyNumberFormat="1" applyFont="1" applyFill="1" applyBorder="1" applyAlignment="1">
      <alignment horizontal="center"/>
    </xf>
    <xf numFmtId="0" fontId="99" fillId="0" borderId="0" xfId="0" applyFont="1" applyFill="1" applyBorder="1" applyAlignment="1">
      <alignment horizontal="center"/>
    </xf>
    <xf numFmtId="0" fontId="0" fillId="0" borderId="17" xfId="0" applyFont="1" applyFill="1" applyBorder="1" applyAlignment="1">
      <alignment horizontal="center"/>
    </xf>
    <xf numFmtId="2" fontId="99" fillId="0" borderId="0" xfId="0" applyNumberFormat="1" applyFont="1" applyFill="1" applyBorder="1" applyAlignment="1">
      <alignment horizontal="center"/>
    </xf>
    <xf numFmtId="0" fontId="99" fillId="0" borderId="21" xfId="0" applyFont="1" applyFill="1" applyBorder="1" applyAlignment="1">
      <alignment horizontal="left"/>
    </xf>
    <xf numFmtId="0" fontId="99" fillId="0" borderId="20" xfId="0" applyFont="1" applyFill="1" applyBorder="1" applyAlignment="1">
      <alignment horizontal="left"/>
    </xf>
    <xf numFmtId="0" fontId="99" fillId="0" borderId="0" xfId="0" applyFont="1" applyFill="1" applyBorder="1" applyAlignment="1">
      <alignment horizontal="left"/>
    </xf>
    <xf numFmtId="0" fontId="0" fillId="0" borderId="17" xfId="0" applyFont="1" applyFill="1" applyBorder="1"/>
    <xf numFmtId="0" fontId="0" fillId="0" borderId="19" xfId="0" applyFont="1" applyFill="1" applyBorder="1"/>
    <xf numFmtId="0" fontId="0" fillId="0" borderId="21" xfId="0" applyFill="1" applyBorder="1" applyAlignment="1">
      <alignment horizontal="center"/>
    </xf>
    <xf numFmtId="0" fontId="99" fillId="0" borderId="22" xfId="0" applyFont="1" applyFill="1" applyBorder="1"/>
    <xf numFmtId="0" fontId="99" fillId="0" borderId="16" xfId="0" applyFont="1" applyFill="1" applyBorder="1"/>
    <xf numFmtId="0" fontId="99" fillId="0" borderId="17" xfId="0" applyFont="1" applyFill="1" applyBorder="1"/>
    <xf numFmtId="167" fontId="99" fillId="0" borderId="0" xfId="0" applyNumberFormat="1" applyFont="1" applyFill="1" applyBorder="1"/>
    <xf numFmtId="171" fontId="99" fillId="0" borderId="0" xfId="0" applyNumberFormat="1" applyFont="1" applyFill="1" applyBorder="1"/>
    <xf numFmtId="0" fontId="99" fillId="0" borderId="19" xfId="0" applyFont="1" applyFill="1" applyBorder="1"/>
    <xf numFmtId="168" fontId="99" fillId="0" borderId="0" xfId="0" applyNumberFormat="1" applyFont="1" applyFill="1" applyBorder="1"/>
    <xf numFmtId="0" fontId="108" fillId="0" borderId="0" xfId="0" applyFont="1" applyFill="1" applyBorder="1" applyAlignment="1">
      <alignment horizontal="center"/>
    </xf>
    <xf numFmtId="0" fontId="99" fillId="0" borderId="21" xfId="0" applyFont="1" applyFill="1" applyBorder="1" applyAlignment="1">
      <alignment horizontal="center"/>
    </xf>
    <xf numFmtId="0" fontId="109" fillId="0" borderId="0" xfId="0" quotePrefix="1" applyFont="1" applyFill="1" applyBorder="1" applyAlignment="1">
      <alignment horizontal="left"/>
    </xf>
    <xf numFmtId="0" fontId="99" fillId="0" borderId="0" xfId="0" applyFont="1" applyFill="1" applyAlignment="1">
      <alignment horizontal="center"/>
    </xf>
    <xf numFmtId="0" fontId="98" fillId="0" borderId="0" xfId="472" applyFont="1" applyFill="1" applyBorder="1" applyAlignment="1">
      <alignment horizontal="center"/>
    </xf>
    <xf numFmtId="0" fontId="99" fillId="0" borderId="0" xfId="472" applyFont="1" applyFill="1" applyBorder="1" applyAlignment="1">
      <alignment horizontal="center"/>
    </xf>
    <xf numFmtId="0" fontId="99" fillId="0" borderId="17" xfId="0" applyFont="1" applyFill="1" applyBorder="1" applyAlignment="1">
      <alignment horizontal="center"/>
    </xf>
    <xf numFmtId="14" fontId="99" fillId="0" borderId="21" xfId="472" applyNumberFormat="1" applyFont="1" applyFill="1" applyBorder="1" applyAlignment="1">
      <alignment horizontal="center"/>
    </xf>
    <xf numFmtId="1" fontId="99" fillId="0" borderId="0" xfId="472" applyNumberFormat="1" applyFont="1" applyFill="1" applyBorder="1" applyAlignment="1">
      <alignment horizontal="center"/>
    </xf>
    <xf numFmtId="0" fontId="98" fillId="0" borderId="0" xfId="0" applyFont="1" applyFill="1" applyBorder="1" applyAlignment="1">
      <alignment horizontal="center"/>
    </xf>
    <xf numFmtId="0" fontId="99" fillId="0" borderId="21" xfId="472" applyFont="1" applyFill="1" applyBorder="1"/>
    <xf numFmtId="168" fontId="99" fillId="0" borderId="0" xfId="472" quotePrefix="1" applyNumberFormat="1" applyFont="1" applyFill="1" applyBorder="1" applyAlignment="1">
      <alignment horizontal="center"/>
    </xf>
    <xf numFmtId="171" fontId="99" fillId="0" borderId="0" xfId="472" applyNumberFormat="1" applyFont="1" applyFill="1" applyBorder="1" applyAlignment="1">
      <alignment horizontal="center"/>
    </xf>
    <xf numFmtId="0" fontId="110" fillId="0" borderId="0" xfId="0" applyFont="1" applyFill="1" applyBorder="1"/>
    <xf numFmtId="172" fontId="99" fillId="0" borderId="0" xfId="472" applyNumberFormat="1" applyFont="1" applyFill="1" applyBorder="1"/>
    <xf numFmtId="0" fontId="111" fillId="0" borderId="0" xfId="0" applyFont="1" applyFill="1" applyBorder="1"/>
    <xf numFmtId="0" fontId="111" fillId="0" borderId="0" xfId="0" applyFont="1" applyFill="1" applyBorder="1" applyAlignment="1">
      <alignment horizontal="center"/>
    </xf>
    <xf numFmtId="0" fontId="111" fillId="0" borderId="0" xfId="0" quotePrefix="1" applyFont="1" applyFill="1" applyBorder="1"/>
    <xf numFmtId="167" fontId="99" fillId="0" borderId="0" xfId="427" applyNumberFormat="1" applyFont="1" applyFill="1" applyBorder="1" applyAlignment="1">
      <alignment horizontal="center"/>
    </xf>
    <xf numFmtId="0" fontId="114" fillId="0" borderId="0" xfId="0" applyFont="1" applyFill="1" applyBorder="1" applyAlignment="1">
      <alignment horizontal="center"/>
    </xf>
    <xf numFmtId="0" fontId="99" fillId="0" borderId="21" xfId="527" applyFont="1" applyFill="1" applyBorder="1" applyAlignment="1" applyProtection="1">
      <protection hidden="1"/>
    </xf>
    <xf numFmtId="0" fontId="99" fillId="0" borderId="21" xfId="427" applyFont="1" applyFill="1" applyBorder="1" applyAlignment="1"/>
    <xf numFmtId="167" fontId="0" fillId="0" borderId="0" xfId="0" applyNumberFormat="1" applyFill="1" applyBorder="1"/>
    <xf numFmtId="0" fontId="0" fillId="0" borderId="15" xfId="0" applyFill="1" applyBorder="1" applyAlignment="1">
      <alignment horizontal="center"/>
    </xf>
    <xf numFmtId="0" fontId="99" fillId="0" borderId="20" xfId="527" applyFont="1" applyFill="1" applyBorder="1" applyAlignment="1" applyProtection="1">
      <protection hidden="1"/>
    </xf>
    <xf numFmtId="0" fontId="99" fillId="0" borderId="18" xfId="427" applyNumberFormat="1" applyFont="1" applyFill="1" applyBorder="1" applyAlignment="1"/>
    <xf numFmtId="167" fontId="99" fillId="0" borderId="18" xfId="427" applyNumberFormat="1" applyFont="1" applyFill="1" applyBorder="1" applyAlignment="1"/>
    <xf numFmtId="0" fontId="99" fillId="0" borderId="18" xfId="427" applyFont="1" applyFill="1" applyBorder="1" applyAlignment="1"/>
    <xf numFmtId="0" fontId="117" fillId="0" borderId="0" xfId="0" quotePrefix="1" applyFont="1" applyFill="1" applyBorder="1"/>
    <xf numFmtId="0" fontId="0" fillId="0" borderId="21" xfId="0" applyFont="1" applyFill="1" applyBorder="1"/>
    <xf numFmtId="2" fontId="0" fillId="0" borderId="0" xfId="0" applyNumberFormat="1" applyFill="1" applyBorder="1" applyAlignment="1">
      <alignment horizontal="center"/>
    </xf>
    <xf numFmtId="0" fontId="99" fillId="0" borderId="15" xfId="430" applyFont="1" applyFill="1" applyBorder="1"/>
    <xf numFmtId="0" fontId="99" fillId="0" borderId="0" xfId="430" applyFont="1" applyFill="1" applyBorder="1"/>
    <xf numFmtId="0" fontId="99" fillId="0" borderId="0" xfId="427" applyFont="1" applyFill="1" applyBorder="1"/>
    <xf numFmtId="0" fontId="99" fillId="0" borderId="0" xfId="427" applyFont="1" applyFill="1" applyBorder="1" applyAlignment="1">
      <alignment horizontal="left"/>
    </xf>
    <xf numFmtId="0" fontId="121" fillId="0" borderId="0" xfId="0" quotePrefix="1" applyFont="1" applyFill="1" applyBorder="1" applyAlignment="1">
      <alignment horizontal="left"/>
    </xf>
    <xf numFmtId="22" fontId="121" fillId="0" borderId="21" xfId="0" quotePrefix="1" applyNumberFormat="1" applyFont="1" applyFill="1" applyBorder="1"/>
    <xf numFmtId="0" fontId="122" fillId="0" borderId="0" xfId="0" applyFont="1" applyFill="1" applyBorder="1"/>
    <xf numFmtId="0" fontId="122" fillId="0" borderId="0" xfId="0" applyFont="1" applyFill="1" applyBorder="1" applyAlignment="1">
      <alignment horizontal="center"/>
    </xf>
    <xf numFmtId="0" fontId="117" fillId="0" borderId="21" xfId="0" quotePrefix="1" applyFont="1" applyFill="1" applyBorder="1"/>
    <xf numFmtId="2" fontId="0" fillId="0" borderId="0" xfId="0" applyNumberFormat="1" applyFill="1" applyBorder="1"/>
    <xf numFmtId="0" fontId="99" fillId="0" borderId="22" xfId="430" applyFont="1" applyFill="1" applyBorder="1"/>
    <xf numFmtId="0" fontId="99" fillId="0" borderId="21" xfId="430" applyFont="1" applyFill="1" applyBorder="1"/>
    <xf numFmtId="0" fontId="93" fillId="0" borderId="15" xfId="0" applyFont="1" applyFill="1" applyBorder="1"/>
    <xf numFmtId="0" fontId="123" fillId="0" borderId="0" xfId="0" quotePrefix="1" applyFont="1" applyFill="1" applyBorder="1" applyAlignment="1">
      <alignment horizontal="center"/>
    </xf>
    <xf numFmtId="168" fontId="0" fillId="0" borderId="0" xfId="0" applyNumberFormat="1" applyFill="1" applyBorder="1" applyAlignment="1">
      <alignment horizontal="right"/>
    </xf>
    <xf numFmtId="168" fontId="0" fillId="0" borderId="0" xfId="0" applyNumberFormat="1" applyFill="1" applyBorder="1" applyAlignment="1">
      <alignment horizontal="center"/>
    </xf>
    <xf numFmtId="0" fontId="0" fillId="0" borderId="21" xfId="0" applyFill="1" applyBorder="1" applyAlignment="1">
      <alignment horizontal="left"/>
    </xf>
    <xf numFmtId="4" fontId="0" fillId="0" borderId="0" xfId="0" applyNumberFormat="1" applyFill="1" applyBorder="1" applyAlignment="1">
      <alignment horizontal="center"/>
    </xf>
    <xf numFmtId="3" fontId="0" fillId="0" borderId="0" xfId="0" applyNumberFormat="1" applyFill="1" applyBorder="1" applyAlignment="1">
      <alignment horizontal="center"/>
    </xf>
    <xf numFmtId="175" fontId="0" fillId="0" borderId="0" xfId="0" applyNumberFormat="1" applyFill="1" applyBorder="1" applyAlignment="1">
      <alignment horizontal="center"/>
    </xf>
    <xf numFmtId="3" fontId="0" fillId="0" borderId="17" xfId="0" applyNumberFormat="1" applyFill="1" applyBorder="1" applyAlignment="1">
      <alignment horizontal="center"/>
    </xf>
    <xf numFmtId="0" fontId="0" fillId="0" borderId="18" xfId="0" applyFill="1" applyBorder="1" applyAlignment="1">
      <alignment horizontal="left" vertical="center"/>
    </xf>
    <xf numFmtId="0" fontId="0" fillId="0" borderId="19" xfId="0" applyFill="1" applyBorder="1" applyAlignment="1">
      <alignment horizontal="left" vertical="center"/>
    </xf>
    <xf numFmtId="0" fontId="99" fillId="0" borderId="0" xfId="442" applyFont="1" applyFill="1" applyBorder="1" applyAlignment="1">
      <alignment horizontal="center" vertical="center"/>
    </xf>
    <xf numFmtId="0" fontId="99" fillId="0" borderId="17" xfId="442" applyFont="1" applyFill="1" applyBorder="1" applyAlignment="1">
      <alignment horizontal="center" vertical="center"/>
    </xf>
    <xf numFmtId="0" fontId="125" fillId="0" borderId="0" xfId="0" applyFont="1" applyFill="1"/>
    <xf numFmtId="0" fontId="125" fillId="0" borderId="0" xfId="0" applyFont="1" applyFill="1" applyBorder="1"/>
    <xf numFmtId="167" fontId="114" fillId="0" borderId="0" xfId="0" applyNumberFormat="1" applyFont="1" applyFill="1" applyBorder="1" applyAlignment="1">
      <alignment horizontal="center"/>
    </xf>
    <xf numFmtId="0" fontId="0" fillId="0" borderId="22" xfId="0" applyFont="1" applyFill="1" applyBorder="1"/>
    <xf numFmtId="0" fontId="0" fillId="0" borderId="15" xfId="0" applyFont="1" applyFill="1" applyBorder="1"/>
    <xf numFmtId="0" fontId="0" fillId="0" borderId="16" xfId="0" applyFont="1" applyFill="1" applyBorder="1"/>
    <xf numFmtId="0" fontId="0" fillId="0" borderId="0" xfId="0" applyFont="1" applyFill="1" applyBorder="1" applyAlignment="1">
      <alignment horizontal="center"/>
    </xf>
    <xf numFmtId="14" fontId="0" fillId="0" borderId="21" xfId="0" applyNumberFormat="1" applyFont="1" applyFill="1" applyBorder="1"/>
    <xf numFmtId="0" fontId="114" fillId="0" borderId="17" xfId="0" applyFont="1" applyFill="1" applyBorder="1" applyAlignment="1">
      <alignment horizontal="center"/>
    </xf>
    <xf numFmtId="0" fontId="121" fillId="0" borderId="21" xfId="0" quotePrefix="1" applyFont="1" applyFill="1" applyBorder="1" applyAlignment="1">
      <alignment horizontal="center"/>
    </xf>
    <xf numFmtId="0" fontId="54" fillId="0" borderId="0" xfId="432" applyFill="1" applyBorder="1"/>
    <xf numFmtId="0" fontId="54" fillId="0" borderId="0" xfId="432" applyFont="1" applyFill="1" applyBorder="1"/>
    <xf numFmtId="0" fontId="54" fillId="0" borderId="0" xfId="432" applyFont="1" applyFill="1" applyBorder="1" applyAlignment="1">
      <alignment horizontal="left" vertical="top"/>
    </xf>
    <xf numFmtId="0" fontId="55" fillId="0" borderId="0" xfId="432" applyFont="1" applyFill="1" applyBorder="1" applyAlignment="1">
      <alignment horizontal="left" vertical="center"/>
    </xf>
    <xf numFmtId="14" fontId="54" fillId="0" borderId="0" xfId="432" applyNumberFormat="1" applyFont="1" applyFill="1" applyBorder="1" applyAlignment="1">
      <alignment horizontal="center" vertical="center"/>
    </xf>
    <xf numFmtId="0" fontId="54" fillId="0" borderId="0" xfId="432" applyFill="1"/>
    <xf numFmtId="0" fontId="54" fillId="0" borderId="0" xfId="432" quotePrefix="1" applyFont="1" applyFill="1" applyBorder="1" applyAlignment="1">
      <alignment horizontal="center"/>
    </xf>
    <xf numFmtId="0" fontId="54" fillId="0" borderId="0" xfId="432" applyFont="1" applyFill="1" applyBorder="1" applyAlignment="1">
      <alignment vertical="top"/>
    </xf>
    <xf numFmtId="0" fontId="54" fillId="0" borderId="0" xfId="432" applyFont="1" applyFill="1" applyBorder="1" applyAlignment="1"/>
    <xf numFmtId="14" fontId="54" fillId="0" borderId="0" xfId="432" applyNumberFormat="1" applyFont="1" applyFill="1" applyBorder="1"/>
    <xf numFmtId="0" fontId="54" fillId="0" borderId="0" xfId="432" applyFont="1" applyFill="1" applyBorder="1" applyAlignment="1">
      <alignment horizontal="center" vertical="top"/>
    </xf>
    <xf numFmtId="0" fontId="101" fillId="0" borderId="23" xfId="0" applyFont="1" applyFill="1" applyBorder="1"/>
    <xf numFmtId="0" fontId="54" fillId="0" borderId="24" xfId="432" applyFont="1" applyFill="1" applyBorder="1" applyAlignment="1">
      <alignment horizontal="left"/>
    </xf>
    <xf numFmtId="0" fontId="54" fillId="0" borderId="25" xfId="432" applyFont="1" applyFill="1" applyBorder="1" applyAlignment="1">
      <alignment horizontal="left"/>
    </xf>
    <xf numFmtId="0" fontId="54" fillId="0" borderId="26" xfId="432" applyFont="1" applyFill="1" applyBorder="1" applyAlignment="1">
      <alignment horizontal="left"/>
    </xf>
    <xf numFmtId="0" fontId="54" fillId="0" borderId="15" xfId="432" applyFont="1" applyFill="1" applyBorder="1"/>
    <xf numFmtId="0" fontId="54" fillId="0" borderId="16" xfId="432" applyFill="1" applyBorder="1"/>
    <xf numFmtId="0" fontId="54" fillId="0" borderId="21" xfId="432" applyFont="1" applyFill="1" applyBorder="1"/>
    <xf numFmtId="0" fontId="54" fillId="0" borderId="17" xfId="432" applyFill="1" applyBorder="1"/>
    <xf numFmtId="0" fontId="54" fillId="0" borderId="27" xfId="432" applyFont="1" applyFill="1" applyBorder="1"/>
    <xf numFmtId="0" fontId="54" fillId="0" borderId="28" xfId="432" applyFont="1" applyFill="1" applyBorder="1"/>
    <xf numFmtId="0" fontId="54" fillId="0" borderId="29" xfId="432" applyFont="1" applyFill="1" applyBorder="1"/>
    <xf numFmtId="0" fontId="54" fillId="0" borderId="30" xfId="432" applyFont="1" applyFill="1" applyBorder="1"/>
    <xf numFmtId="0" fontId="54" fillId="0" borderId="21" xfId="432" applyFont="1" applyFill="1" applyBorder="1" applyAlignment="1"/>
    <xf numFmtId="0" fontId="54" fillId="0" borderId="21" xfId="432" applyFont="1" applyFill="1" applyBorder="1" applyAlignment="1">
      <alignment vertical="top"/>
    </xf>
    <xf numFmtId="0" fontId="74" fillId="0" borderId="21" xfId="432" quotePrefix="1" applyFont="1" applyFill="1" applyBorder="1"/>
    <xf numFmtId="0" fontId="74" fillId="0" borderId="21" xfId="432" applyFont="1" applyFill="1" applyBorder="1"/>
    <xf numFmtId="0" fontId="54" fillId="0" borderId="20" xfId="432" applyFont="1" applyFill="1" applyBorder="1"/>
    <xf numFmtId="0" fontId="54" fillId="0" borderId="18" xfId="432" applyFont="1" applyFill="1" applyBorder="1"/>
    <xf numFmtId="0" fontId="114" fillId="0" borderId="20" xfId="0" applyFont="1" applyFill="1" applyBorder="1" applyAlignment="1">
      <alignment horizontal="center"/>
    </xf>
    <xf numFmtId="0" fontId="114" fillId="0" borderId="18" xfId="0" applyFont="1" applyFill="1" applyBorder="1" applyAlignment="1">
      <alignment horizontal="center"/>
    </xf>
    <xf numFmtId="0" fontId="121" fillId="0" borderId="21" xfId="0" quotePrefix="1" applyFont="1" applyFill="1" applyBorder="1" applyAlignment="1">
      <alignment horizontal="left"/>
    </xf>
    <xf numFmtId="0" fontId="54" fillId="0" borderId="15" xfId="432" applyFill="1" applyBorder="1"/>
    <xf numFmtId="0" fontId="114" fillId="0" borderId="15" xfId="0" applyFont="1" applyFill="1" applyBorder="1" applyAlignment="1">
      <alignment horizontal="center"/>
    </xf>
    <xf numFmtId="0" fontId="114" fillId="0" borderId="16" xfId="0" applyFont="1" applyFill="1" applyBorder="1" applyAlignment="1">
      <alignment horizontal="center"/>
    </xf>
    <xf numFmtId="0" fontId="0" fillId="0" borderId="0" xfId="0" applyFont="1" applyFill="1"/>
    <xf numFmtId="0" fontId="104" fillId="0" borderId="0" xfId="433" applyFont="1" applyFill="1" applyBorder="1"/>
    <xf numFmtId="0" fontId="104" fillId="0" borderId="31" xfId="433" applyFont="1" applyFill="1" applyBorder="1"/>
    <xf numFmtId="14" fontId="104" fillId="0" borderId="0" xfId="433" applyNumberFormat="1" applyFont="1" applyFill="1" applyBorder="1"/>
    <xf numFmtId="0" fontId="104" fillId="0" borderId="32" xfId="433" applyFont="1" applyFill="1" applyBorder="1"/>
    <xf numFmtId="0" fontId="104" fillId="0" borderId="33" xfId="433" quotePrefix="1" applyFont="1" applyFill="1" applyBorder="1" applyAlignment="1">
      <alignment horizontal="center"/>
    </xf>
    <xf numFmtId="0" fontId="104" fillId="0" borderId="25" xfId="433" applyFont="1" applyFill="1" applyBorder="1" applyAlignment="1">
      <alignment horizontal="left"/>
    </xf>
    <xf numFmtId="0" fontId="104" fillId="0" borderId="25" xfId="433" quotePrefix="1" applyFont="1" applyFill="1" applyBorder="1" applyAlignment="1">
      <alignment horizontal="center"/>
    </xf>
    <xf numFmtId="0" fontId="104" fillId="0" borderId="26" xfId="433" applyFont="1" applyFill="1" applyBorder="1" applyAlignment="1">
      <alignment horizontal="left"/>
    </xf>
    <xf numFmtId="0" fontId="104" fillId="0" borderId="0" xfId="433" applyFont="1" applyFill="1" applyBorder="1" applyAlignment="1">
      <alignment horizontal="left" vertical="center" wrapText="1"/>
    </xf>
    <xf numFmtId="0" fontId="104" fillId="0" borderId="0" xfId="433" applyFont="1" applyFill="1" applyBorder="1" applyAlignment="1"/>
    <xf numFmtId="0" fontId="104" fillId="0" borderId="0" xfId="433" applyFont="1" applyFill="1" applyBorder="1" applyAlignment="1">
      <alignment vertical="top"/>
    </xf>
    <xf numFmtId="0" fontId="104" fillId="0" borderId="0" xfId="433" applyFont="1" applyFill="1" applyBorder="1" applyAlignment="1">
      <alignment horizontal="center" vertical="top"/>
    </xf>
    <xf numFmtId="0" fontId="104" fillId="0" borderId="0" xfId="433" applyFont="1" applyFill="1" applyBorder="1" applyAlignment="1">
      <alignment horizontal="left" vertical="top"/>
    </xf>
    <xf numFmtId="0" fontId="0" fillId="0" borderId="15" xfId="0" applyFont="1" applyFill="1" applyBorder="1" applyAlignment="1">
      <alignment horizontal="center"/>
    </xf>
    <xf numFmtId="14" fontId="0" fillId="0" borderId="0" xfId="0" applyNumberFormat="1" applyFont="1" applyFill="1" applyBorder="1" applyAlignment="1">
      <alignment horizontal="center"/>
    </xf>
    <xf numFmtId="0" fontId="0" fillId="0" borderId="34" xfId="0" applyFont="1" applyFill="1" applyBorder="1" applyAlignment="1">
      <alignment horizontal="center"/>
    </xf>
    <xf numFmtId="0" fontId="104" fillId="0" borderId="15" xfId="433" applyFont="1" applyFill="1" applyBorder="1"/>
    <xf numFmtId="0" fontId="104" fillId="0" borderId="21" xfId="433" applyFont="1" applyFill="1" applyBorder="1"/>
    <xf numFmtId="0" fontId="104" fillId="0" borderId="28" xfId="433" applyFont="1" applyFill="1" applyBorder="1"/>
    <xf numFmtId="0" fontId="104" fillId="0" borderId="30" xfId="433" applyFont="1" applyFill="1" applyBorder="1"/>
    <xf numFmtId="0" fontId="104" fillId="0" borderId="29" xfId="433" applyFont="1" applyFill="1" applyBorder="1"/>
    <xf numFmtId="0" fontId="104" fillId="0" borderId="21" xfId="0" applyFont="1" applyFill="1" applyBorder="1"/>
    <xf numFmtId="0" fontId="104" fillId="0" borderId="21" xfId="433" applyFont="1" applyFill="1" applyBorder="1" applyAlignment="1"/>
    <xf numFmtId="0" fontId="104" fillId="0" borderId="17" xfId="433" applyFont="1" applyFill="1" applyBorder="1"/>
    <xf numFmtId="0" fontId="104" fillId="0" borderId="20" xfId="0" applyFont="1" applyFill="1" applyBorder="1"/>
    <xf numFmtId="0" fontId="104" fillId="0" borderId="18" xfId="433" applyFont="1" applyFill="1" applyBorder="1" applyAlignment="1">
      <alignment vertical="top"/>
    </xf>
    <xf numFmtId="0" fontId="104" fillId="0" borderId="18" xfId="0" applyFont="1" applyFill="1" applyBorder="1"/>
    <xf numFmtId="0" fontId="104" fillId="0" borderId="18" xfId="433" applyFont="1" applyFill="1" applyBorder="1"/>
    <xf numFmtId="0" fontId="104" fillId="0" borderId="19" xfId="433" applyFont="1" applyFill="1" applyBorder="1"/>
    <xf numFmtId="0" fontId="70" fillId="0" borderId="0" xfId="432" applyFont="1" applyFill="1" applyBorder="1"/>
    <xf numFmtId="0" fontId="54" fillId="0" borderId="18" xfId="432" applyFill="1" applyBorder="1"/>
    <xf numFmtId="0" fontId="54" fillId="0" borderId="19" xfId="432" applyFill="1" applyBorder="1"/>
    <xf numFmtId="22" fontId="99" fillId="0" borderId="22" xfId="0" applyNumberFormat="1" applyFont="1" applyFill="1" applyBorder="1" applyAlignment="1">
      <alignment horizontal="left"/>
    </xf>
    <xf numFmtId="2" fontId="99" fillId="0" borderId="15" xfId="0" applyNumberFormat="1" applyFont="1" applyFill="1" applyBorder="1" applyAlignment="1">
      <alignment horizontal="left"/>
    </xf>
    <xf numFmtId="0" fontId="99" fillId="0" borderId="17" xfId="0" applyFont="1" applyFill="1" applyBorder="1" applyAlignment="1"/>
    <xf numFmtId="170" fontId="99" fillId="0" borderId="0" xfId="0" applyNumberFormat="1" applyFont="1" applyFill="1" applyBorder="1" applyAlignment="1">
      <alignment horizontal="center"/>
    </xf>
    <xf numFmtId="170" fontId="99" fillId="0" borderId="18" xfId="0" applyNumberFormat="1" applyFont="1" applyFill="1" applyBorder="1" applyAlignment="1">
      <alignment horizontal="center"/>
    </xf>
    <xf numFmtId="2" fontId="99" fillId="0" borderId="18" xfId="0" applyNumberFormat="1" applyFont="1" applyFill="1" applyBorder="1" applyAlignment="1">
      <alignment horizontal="center"/>
    </xf>
    <xf numFmtId="2" fontId="129" fillId="0" borderId="18" xfId="0" applyNumberFormat="1" applyFont="1" applyFill="1" applyBorder="1"/>
    <xf numFmtId="4" fontId="99" fillId="0" borderId="0" xfId="0" applyNumberFormat="1" applyFont="1" applyFill="1" applyBorder="1" applyAlignment="1">
      <alignment horizontal="center"/>
    </xf>
    <xf numFmtId="0" fontId="99" fillId="0" borderId="18" xfId="0" applyFont="1" applyFill="1" applyBorder="1" applyAlignment="1">
      <alignment horizontal="center"/>
    </xf>
    <xf numFmtId="0" fontId="99" fillId="0" borderId="15" xfId="0" applyFont="1" applyFill="1" applyBorder="1" applyAlignment="1"/>
    <xf numFmtId="0" fontId="94" fillId="0" borderId="22" xfId="435" applyFont="1" applyFill="1" applyBorder="1"/>
    <xf numFmtId="0" fontId="94" fillId="0" borderId="15" xfId="435" applyFont="1" applyFill="1" applyBorder="1"/>
    <xf numFmtId="0" fontId="94" fillId="0" borderId="0" xfId="435" applyFont="1" applyFill="1" applyBorder="1"/>
    <xf numFmtId="0" fontId="94" fillId="0" borderId="17" xfId="435" applyFont="1" applyFill="1" applyBorder="1"/>
    <xf numFmtId="0" fontId="94" fillId="0" borderId="21" xfId="435" applyFont="1" applyFill="1" applyBorder="1"/>
    <xf numFmtId="0" fontId="94" fillId="0" borderId="20" xfId="435" applyFont="1" applyFill="1" applyBorder="1"/>
    <xf numFmtId="0" fontId="94" fillId="0" borderId="18" xfId="435" applyFont="1" applyFill="1" applyBorder="1"/>
    <xf numFmtId="171" fontId="99" fillId="0" borderId="0" xfId="0" applyNumberFormat="1" applyFont="1" applyFill="1" applyBorder="1" applyAlignment="1">
      <alignment horizontal="center"/>
    </xf>
    <xf numFmtId="171" fontId="99" fillId="0" borderId="18" xfId="0" applyNumberFormat="1" applyFont="1" applyFill="1" applyBorder="1" applyAlignment="1">
      <alignment horizontal="center"/>
    </xf>
    <xf numFmtId="0" fontId="99" fillId="0" borderId="22" xfId="435" applyFont="1" applyFill="1" applyBorder="1"/>
    <xf numFmtId="0" fontId="99" fillId="0" borderId="15" xfId="435" applyFont="1" applyFill="1" applyBorder="1"/>
    <xf numFmtId="0" fontId="99" fillId="0" borderId="0" xfId="435" applyFont="1" applyFill="1" applyBorder="1"/>
    <xf numFmtId="0" fontId="99" fillId="0" borderId="21" xfId="435" applyFont="1" applyFill="1" applyBorder="1"/>
    <xf numFmtId="0" fontId="99" fillId="0" borderId="18" xfId="435" applyFont="1" applyFill="1" applyBorder="1"/>
    <xf numFmtId="0" fontId="99" fillId="0" borderId="22" xfId="435" quotePrefix="1" applyFont="1" applyFill="1" applyBorder="1"/>
    <xf numFmtId="0" fontId="99" fillId="0" borderId="16" xfId="435" applyFont="1" applyFill="1" applyBorder="1"/>
    <xf numFmtId="0" fontId="99" fillId="0" borderId="17" xfId="435" applyFont="1" applyFill="1" applyBorder="1"/>
    <xf numFmtId="0" fontId="132" fillId="0" borderId="17" xfId="435" applyFont="1" applyFill="1" applyBorder="1"/>
    <xf numFmtId="14" fontId="94" fillId="0" borderId="0" xfId="435" applyNumberFormat="1" applyFont="1" applyFill="1" applyBorder="1" applyAlignment="1">
      <alignment horizontal="center"/>
    </xf>
    <xf numFmtId="2" fontId="99" fillId="0" borderId="17" xfId="0" applyNumberFormat="1" applyFont="1" applyFill="1" applyBorder="1" applyAlignment="1">
      <alignment horizontal="center"/>
    </xf>
    <xf numFmtId="2" fontId="99" fillId="0" borderId="19" xfId="0" applyNumberFormat="1" applyFont="1" applyFill="1" applyBorder="1" applyAlignment="1">
      <alignment horizontal="center"/>
    </xf>
    <xf numFmtId="0" fontId="99" fillId="0" borderId="20" xfId="0" applyFont="1" applyFill="1" applyBorder="1" applyAlignment="1">
      <alignment horizontal="center"/>
    </xf>
    <xf numFmtId="0" fontId="99" fillId="0" borderId="0" xfId="435" applyFont="1" applyFill="1" applyBorder="1" applyAlignment="1">
      <alignment horizontal="left"/>
    </xf>
    <xf numFmtId="1" fontId="0" fillId="0" borderId="35" xfId="0" applyNumberFormat="1" applyFont="1" applyFill="1" applyBorder="1" applyAlignment="1">
      <alignment horizontal="center"/>
    </xf>
    <xf numFmtId="170" fontId="0" fillId="0" borderId="0" xfId="0" applyNumberFormat="1" applyFont="1" applyFill="1" applyBorder="1" applyAlignment="1">
      <alignment horizontal="center"/>
    </xf>
    <xf numFmtId="0" fontId="111" fillId="0" borderId="16" xfId="442" applyFont="1" applyFill="1" applyBorder="1"/>
    <xf numFmtId="14" fontId="94" fillId="0" borderId="18" xfId="435" applyNumberFormat="1" applyFont="1" applyFill="1" applyBorder="1" applyAlignment="1">
      <alignment horizontal="center"/>
    </xf>
    <xf numFmtId="0" fontId="134" fillId="0" borderId="0" xfId="435" applyFont="1" applyFill="1" applyBorder="1"/>
    <xf numFmtId="0" fontId="121" fillId="0" borderId="0" xfId="435" quotePrefix="1" applyFont="1" applyFill="1" applyBorder="1"/>
    <xf numFmtId="14" fontId="99" fillId="0" borderId="0" xfId="427" applyNumberFormat="1" applyFont="1" applyFill="1" applyBorder="1"/>
    <xf numFmtId="0" fontId="99" fillId="0" borderId="0" xfId="427" quotePrefix="1" applyFont="1" applyFill="1" applyBorder="1"/>
    <xf numFmtId="14" fontId="0" fillId="0" borderId="0" xfId="0" applyNumberFormat="1" applyFont="1" applyFill="1" applyBorder="1"/>
    <xf numFmtId="0" fontId="94" fillId="0" borderId="16" xfId="435" applyFont="1" applyFill="1" applyBorder="1"/>
    <xf numFmtId="0" fontId="94" fillId="0" borderId="19" xfId="435" applyFont="1" applyFill="1" applyBorder="1"/>
    <xf numFmtId="0" fontId="94" fillId="0" borderId="21" xfId="435" applyFont="1" applyFill="1" applyBorder="1" applyAlignment="1">
      <alignment horizontal="center"/>
    </xf>
    <xf numFmtId="14" fontId="94" fillId="0" borderId="18" xfId="435" applyNumberFormat="1" applyFont="1" applyFill="1" applyBorder="1"/>
    <xf numFmtId="0" fontId="90" fillId="0" borderId="15" xfId="474" applyFont="1" applyFill="1" applyBorder="1"/>
    <xf numFmtId="0" fontId="99" fillId="0" borderId="0" xfId="435" quotePrefix="1" applyFont="1" applyFill="1" applyBorder="1"/>
    <xf numFmtId="14" fontId="99" fillId="0" borderId="0" xfId="435" applyNumberFormat="1" applyFont="1" applyFill="1" applyBorder="1"/>
    <xf numFmtId="0" fontId="99" fillId="0" borderId="20" xfId="435" applyFont="1" applyFill="1" applyBorder="1"/>
    <xf numFmtId="14" fontId="99" fillId="0" borderId="18" xfId="435" applyNumberFormat="1" applyFont="1" applyFill="1" applyBorder="1"/>
    <xf numFmtId="0" fontId="99" fillId="0" borderId="19" xfId="435" applyFont="1" applyFill="1" applyBorder="1"/>
    <xf numFmtId="0" fontId="128" fillId="0" borderId="0" xfId="435" applyFont="1" applyFill="1" applyBorder="1" applyAlignment="1">
      <alignment horizontal="center"/>
    </xf>
    <xf numFmtId="176" fontId="99" fillId="0" borderId="0" xfId="0" applyNumberFormat="1" applyFont="1" applyFill="1" applyBorder="1" applyAlignment="1">
      <alignment horizontal="center"/>
    </xf>
    <xf numFmtId="0" fontId="99" fillId="0" borderId="0" xfId="435" applyNumberFormat="1" applyFont="1" applyFill="1" applyBorder="1"/>
    <xf numFmtId="170" fontId="99" fillId="0" borderId="21" xfId="0" applyNumberFormat="1" applyFont="1" applyFill="1" applyBorder="1" applyAlignment="1">
      <alignment horizontal="left"/>
    </xf>
    <xf numFmtId="14" fontId="99" fillId="0" borderId="0" xfId="435" applyNumberFormat="1" applyFont="1" applyFill="1" applyBorder="1" applyAlignment="1">
      <alignment horizontal="center"/>
    </xf>
    <xf numFmtId="0" fontId="99" fillId="0" borderId="0" xfId="435" applyFont="1" applyFill="1" applyBorder="1" applyAlignment="1">
      <alignment horizontal="center"/>
    </xf>
    <xf numFmtId="14" fontId="93" fillId="0" borderId="36" xfId="435" applyNumberFormat="1" applyFont="1" applyFill="1" applyBorder="1" applyAlignment="1">
      <alignment horizontal="center"/>
    </xf>
    <xf numFmtId="0" fontId="93" fillId="0" borderId="37" xfId="435" applyFont="1" applyFill="1" applyBorder="1" applyAlignment="1">
      <alignment horizontal="center"/>
    </xf>
    <xf numFmtId="0" fontId="116" fillId="0" borderId="0" xfId="435" applyFont="1" applyFill="1" applyBorder="1"/>
    <xf numFmtId="0" fontId="123" fillId="0" borderId="0" xfId="435" applyFont="1" applyFill="1" applyBorder="1"/>
    <xf numFmtId="14" fontId="99" fillId="0" borderId="15" xfId="435" applyNumberFormat="1" applyFont="1" applyFill="1" applyBorder="1"/>
    <xf numFmtId="0" fontId="99" fillId="0" borderId="17" xfId="435" applyFont="1" applyFill="1" applyBorder="1" applyAlignment="1">
      <alignment horizontal="center"/>
    </xf>
    <xf numFmtId="0" fontId="108" fillId="0" borderId="20" xfId="435" applyFont="1" applyFill="1" applyBorder="1"/>
    <xf numFmtId="2" fontId="99" fillId="0" borderId="18" xfId="435" applyNumberFormat="1" applyFont="1" applyFill="1" applyBorder="1"/>
    <xf numFmtId="171" fontId="99" fillId="0" borderId="18" xfId="435" applyNumberFormat="1" applyFont="1" applyFill="1" applyBorder="1"/>
    <xf numFmtId="0" fontId="99" fillId="0" borderId="18" xfId="435" applyNumberFormat="1" applyFont="1" applyFill="1" applyBorder="1" applyAlignment="1">
      <alignment horizontal="center"/>
    </xf>
    <xf numFmtId="0" fontId="99" fillId="0" borderId="19" xfId="435" applyNumberFormat="1" applyFont="1" applyFill="1" applyBorder="1" applyAlignment="1">
      <alignment horizontal="center"/>
    </xf>
    <xf numFmtId="0" fontId="98" fillId="0" borderId="22" xfId="435" applyFont="1" applyFill="1" applyBorder="1"/>
    <xf numFmtId="0" fontId="99" fillId="0" borderId="0" xfId="435" applyNumberFormat="1" applyFont="1" applyFill="1" applyBorder="1" applyAlignment="1">
      <alignment horizontal="center"/>
    </xf>
    <xf numFmtId="0" fontId="108" fillId="0" borderId="0" xfId="435" applyFont="1" applyFill="1" applyBorder="1" applyAlignment="1">
      <alignment horizontal="left"/>
    </xf>
    <xf numFmtId="0" fontId="98" fillId="0" borderId="0" xfId="435" applyFont="1" applyFill="1" applyBorder="1" applyAlignment="1">
      <alignment horizontal="center"/>
    </xf>
    <xf numFmtId="0" fontId="99" fillId="0" borderId="17" xfId="435" applyFont="1" applyFill="1" applyBorder="1" applyAlignment="1">
      <alignment horizontal="left"/>
    </xf>
    <xf numFmtId="0" fontId="99" fillId="0" borderId="17" xfId="435" applyNumberFormat="1" applyFont="1" applyFill="1" applyBorder="1" applyAlignment="1">
      <alignment horizontal="center"/>
    </xf>
    <xf numFmtId="167" fontId="99" fillId="0" borderId="18" xfId="435" applyNumberFormat="1" applyFont="1" applyFill="1" applyBorder="1"/>
    <xf numFmtId="14" fontId="114" fillId="0" borderId="0" xfId="435" applyNumberFormat="1" applyFont="1" applyFill="1" applyBorder="1" applyAlignment="1">
      <alignment horizontal="center"/>
    </xf>
    <xf numFmtId="2" fontId="116" fillId="0" borderId="22" xfId="435" applyNumberFormat="1" applyFont="1" applyFill="1" applyBorder="1"/>
    <xf numFmtId="0" fontId="99" fillId="0" borderId="15" xfId="435" applyFont="1" applyFill="1" applyBorder="1" applyAlignment="1">
      <alignment horizontal="center"/>
    </xf>
    <xf numFmtId="0" fontId="99" fillId="0" borderId="0" xfId="435" applyFont="1" applyFill="1" applyBorder="1" applyAlignment="1">
      <alignment horizontal="center" vertical="top" wrapText="1"/>
    </xf>
    <xf numFmtId="167" fontId="99" fillId="0" borderId="0" xfId="435" applyNumberFormat="1" applyFont="1" applyFill="1" applyBorder="1" applyAlignment="1">
      <alignment horizontal="center"/>
    </xf>
    <xf numFmtId="0" fontId="137" fillId="0" borderId="18" xfId="428" applyFont="1" applyFill="1" applyBorder="1"/>
    <xf numFmtId="0" fontId="137" fillId="0" borderId="38" xfId="428" applyFont="1" applyFill="1" applyBorder="1"/>
    <xf numFmtId="1" fontId="99" fillId="0" borderId="35" xfId="427" applyNumberFormat="1" applyFont="1" applyFill="1" applyBorder="1" applyAlignment="1">
      <alignment horizontal="center"/>
    </xf>
    <xf numFmtId="1" fontId="99" fillId="0" borderId="0" xfId="427" applyNumberFormat="1" applyFont="1" applyFill="1" applyBorder="1" applyAlignment="1">
      <alignment horizontal="center"/>
    </xf>
    <xf numFmtId="2" fontId="99" fillId="0" borderId="0" xfId="427" applyNumberFormat="1" applyFont="1" applyFill="1" applyBorder="1" applyAlignment="1">
      <alignment horizontal="center"/>
    </xf>
    <xf numFmtId="2" fontId="99" fillId="0" borderId="0" xfId="435" applyNumberFormat="1" applyFont="1" applyFill="1" applyBorder="1" applyAlignment="1">
      <alignment horizontal="center"/>
    </xf>
    <xf numFmtId="4" fontId="128" fillId="0" borderId="0" xfId="435" applyNumberFormat="1" applyFont="1" applyFill="1" applyBorder="1" applyAlignment="1">
      <alignment horizontal="center"/>
    </xf>
    <xf numFmtId="3" fontId="99" fillId="0" borderId="0" xfId="427" applyNumberFormat="1" applyFont="1" applyFill="1" applyBorder="1" applyAlignment="1">
      <alignment horizontal="center"/>
    </xf>
    <xf numFmtId="3" fontId="99" fillId="0" borderId="0" xfId="435" applyNumberFormat="1" applyFont="1" applyFill="1" applyBorder="1" applyAlignment="1">
      <alignment horizontal="center"/>
    </xf>
    <xf numFmtId="3" fontId="128" fillId="0" borderId="0" xfId="435" applyNumberFormat="1" applyFont="1" applyFill="1" applyBorder="1" applyAlignment="1">
      <alignment horizontal="center"/>
    </xf>
    <xf numFmtId="167" fontId="99" fillId="0" borderId="18" xfId="427" applyNumberFormat="1" applyFont="1" applyFill="1" applyBorder="1" applyAlignment="1">
      <alignment horizontal="center"/>
    </xf>
    <xf numFmtId="0" fontId="0" fillId="0" borderId="18" xfId="0" quotePrefix="1" applyFill="1" applyBorder="1"/>
    <xf numFmtId="0" fontId="46" fillId="0" borderId="22" xfId="441" applyFont="1" applyFill="1" applyBorder="1" applyAlignment="1">
      <alignment horizontal="left" vertical="center"/>
    </xf>
    <xf numFmtId="0" fontId="0" fillId="0" borderId="15" xfId="0" quotePrefix="1" applyFill="1" applyBorder="1"/>
    <xf numFmtId="0" fontId="46" fillId="0" borderId="21" xfId="441" applyFont="1" applyFill="1" applyBorder="1" applyAlignment="1">
      <alignment horizontal="left" vertical="center"/>
    </xf>
    <xf numFmtId="2" fontId="0" fillId="0" borderId="17" xfId="0" applyNumberFormat="1" applyFill="1" applyBorder="1" applyAlignment="1">
      <alignment horizontal="center"/>
    </xf>
    <xf numFmtId="0" fontId="46" fillId="0" borderId="20" xfId="441" quotePrefix="1" applyFont="1" applyFill="1" applyBorder="1" applyAlignment="1">
      <alignment horizontal="left" vertical="center"/>
    </xf>
    <xf numFmtId="0" fontId="46" fillId="0" borderId="21" xfId="441" quotePrefix="1" applyFont="1" applyFill="1" applyBorder="1" applyAlignment="1">
      <alignment horizontal="left" vertical="center"/>
    </xf>
    <xf numFmtId="0" fontId="137" fillId="0" borderId="15" xfId="428" applyFont="1" applyFill="1" applyBorder="1"/>
    <xf numFmtId="0" fontId="128" fillId="0" borderId="0" xfId="435" applyFont="1" applyFill="1" applyBorder="1" applyAlignment="1">
      <alignment horizontal="center" vertical="center" wrapText="1"/>
    </xf>
    <xf numFmtId="14" fontId="99" fillId="0" borderId="0" xfId="435" applyNumberFormat="1" applyFont="1" applyFill="1" applyBorder="1" applyAlignment="1">
      <alignment horizontal="center" vertical="center" wrapText="1"/>
    </xf>
    <xf numFmtId="0" fontId="99" fillId="0" borderId="0" xfId="435" applyFont="1" applyFill="1" applyBorder="1" applyAlignment="1">
      <alignment horizontal="center" vertical="center" wrapText="1"/>
    </xf>
    <xf numFmtId="0" fontId="128" fillId="0" borderId="0" xfId="435" applyFont="1" applyFill="1" applyBorder="1" applyAlignment="1">
      <alignment horizontal="left"/>
    </xf>
    <xf numFmtId="0" fontId="108" fillId="0" borderId="17" xfId="435" applyFont="1" applyFill="1" applyBorder="1"/>
    <xf numFmtId="0" fontId="99" fillId="0" borderId="0" xfId="435" applyNumberFormat="1" applyFont="1" applyFill="1" applyBorder="1" applyAlignment="1">
      <alignment horizontal="center" vertical="top" wrapText="1"/>
    </xf>
    <xf numFmtId="0" fontId="114" fillId="0" borderId="0" xfId="435" applyNumberFormat="1" applyFont="1" applyFill="1" applyBorder="1" applyAlignment="1">
      <alignment horizontal="center" vertical="top" wrapText="1"/>
    </xf>
    <xf numFmtId="0" fontId="114" fillId="0" borderId="19" xfId="435" applyNumberFormat="1" applyFont="1" applyFill="1" applyBorder="1" applyAlignment="1">
      <alignment horizontal="center" vertical="top" wrapText="1"/>
    </xf>
    <xf numFmtId="15" fontId="0" fillId="0" borderId="0" xfId="0" applyNumberFormat="1" applyFill="1" applyBorder="1" applyAlignment="1">
      <alignment horizontal="center"/>
    </xf>
    <xf numFmtId="14" fontId="0" fillId="0" borderId="0" xfId="0" applyNumberFormat="1" applyFill="1" applyBorder="1" applyAlignment="1">
      <alignment horizontal="center"/>
    </xf>
    <xf numFmtId="14" fontId="0" fillId="0" borderId="17" xfId="0" applyNumberFormat="1" applyFont="1" applyFill="1" applyBorder="1"/>
    <xf numFmtId="0" fontId="99" fillId="0" borderId="20" xfId="435" applyFont="1" applyFill="1" applyBorder="1" applyAlignment="1">
      <alignment horizontal="left"/>
    </xf>
    <xf numFmtId="0" fontId="127" fillId="0" borderId="15" xfId="428" applyFont="1" applyFill="1" applyBorder="1"/>
    <xf numFmtId="0" fontId="94" fillId="0" borderId="21" xfId="435" applyFont="1" applyFill="1" applyBorder="1" applyAlignment="1">
      <alignment horizontal="left"/>
    </xf>
    <xf numFmtId="0" fontId="94" fillId="0" borderId="22" xfId="435" applyFont="1" applyFill="1" applyBorder="1" applyAlignment="1">
      <alignment horizontal="left"/>
    </xf>
    <xf numFmtId="0" fontId="123" fillId="0" borderId="0" xfId="0" applyFont="1" applyFill="1" applyBorder="1" applyAlignment="1">
      <alignment horizontal="left"/>
    </xf>
    <xf numFmtId="0" fontId="0" fillId="0" borderId="18" xfId="0" applyFont="1" applyFill="1" applyBorder="1" applyAlignment="1">
      <alignment horizontal="left"/>
    </xf>
    <xf numFmtId="0" fontId="123" fillId="0" borderId="0" xfId="0" applyFont="1" applyFill="1" applyAlignment="1">
      <alignment horizontal="left"/>
    </xf>
    <xf numFmtId="0" fontId="123" fillId="0" borderId="18" xfId="0" applyFont="1" applyFill="1" applyBorder="1"/>
    <xf numFmtId="0" fontId="123" fillId="0" borderId="18" xfId="0" applyFont="1" applyFill="1" applyBorder="1" applyAlignment="1">
      <alignment horizontal="left"/>
    </xf>
    <xf numFmtId="0" fontId="139" fillId="0" borderId="0" xfId="432" applyFont="1" applyFill="1" applyBorder="1"/>
    <xf numFmtId="0" fontId="116" fillId="0" borderId="0" xfId="0" applyFont="1" applyFill="1"/>
    <xf numFmtId="0" fontId="140" fillId="0" borderId="0" xfId="0" applyFont="1" applyFill="1"/>
    <xf numFmtId="2" fontId="121" fillId="0" borderId="0" xfId="435" applyNumberFormat="1" applyFont="1" applyFill="1" applyBorder="1" applyAlignment="1">
      <alignment horizontal="center"/>
    </xf>
    <xf numFmtId="0" fontId="0" fillId="0" borderId="22" xfId="0" applyFont="1" applyFill="1" applyBorder="1" applyAlignment="1">
      <alignment horizontal="center"/>
    </xf>
    <xf numFmtId="0" fontId="114" fillId="0" borderId="0" xfId="0" applyFont="1" applyFill="1" applyBorder="1"/>
    <xf numFmtId="4" fontId="0" fillId="0" borderId="0" xfId="0" applyNumberFormat="1" applyFont="1" applyFill="1" applyBorder="1" applyAlignment="1">
      <alignment horizontal="right"/>
    </xf>
    <xf numFmtId="4" fontId="0" fillId="0" borderId="0" xfId="0" applyNumberFormat="1" applyFont="1" applyFill="1" applyBorder="1" applyAlignment="1">
      <alignment horizontal="center"/>
    </xf>
    <xf numFmtId="2" fontId="0" fillId="0" borderId="0" xfId="0" applyNumberFormat="1" applyFont="1" applyFill="1" applyBorder="1" applyAlignment="1">
      <alignment horizontal="center"/>
    </xf>
    <xf numFmtId="0" fontId="121" fillId="0" borderId="21" xfId="0" applyFont="1" applyFill="1" applyBorder="1" applyAlignment="1">
      <alignment horizontal="left"/>
    </xf>
    <xf numFmtId="0" fontId="121" fillId="0" borderId="20" xfId="0" quotePrefix="1" applyFont="1" applyFill="1" applyBorder="1"/>
    <xf numFmtId="0" fontId="121" fillId="0" borderId="0" xfId="0" quotePrefix="1" applyFont="1" applyFill="1" applyBorder="1"/>
    <xf numFmtId="14" fontId="134" fillId="0" borderId="0" xfId="435" applyNumberFormat="1" applyFont="1" applyFill="1" applyBorder="1" applyAlignment="1">
      <alignment horizontal="center"/>
    </xf>
    <xf numFmtId="0" fontId="121" fillId="0" borderId="0" xfId="0" applyFont="1" applyFill="1" applyBorder="1" applyAlignment="1">
      <alignment horizontal="center"/>
    </xf>
    <xf numFmtId="170" fontId="121" fillId="0" borderId="0" xfId="0" applyNumberFormat="1" applyFont="1" applyFill="1" applyBorder="1" applyAlignment="1">
      <alignment horizontal="center"/>
    </xf>
    <xf numFmtId="0" fontId="121" fillId="0" borderId="21" xfId="0" applyFont="1" applyFill="1" applyBorder="1" applyAlignment="1">
      <alignment horizontal="center"/>
    </xf>
    <xf numFmtId="0" fontId="121" fillId="0" borderId="21" xfId="0" quotePrefix="1" applyFont="1" applyFill="1" applyBorder="1"/>
    <xf numFmtId="0" fontId="121" fillId="0" borderId="0" xfId="435" applyFont="1" applyFill="1" applyBorder="1"/>
    <xf numFmtId="0" fontId="121" fillId="0" borderId="0" xfId="435" applyFont="1" applyFill="1" applyBorder="1" applyAlignment="1">
      <alignment horizontal="left"/>
    </xf>
    <xf numFmtId="14" fontId="134" fillId="0" borderId="21" xfId="442" quotePrefix="1" applyNumberFormat="1" applyFont="1" applyFill="1" applyBorder="1" applyAlignment="1">
      <alignment horizontal="center"/>
    </xf>
    <xf numFmtId="0" fontId="121" fillId="0" borderId="21" xfId="427" quotePrefix="1" applyFont="1" applyFill="1" applyBorder="1"/>
    <xf numFmtId="167" fontId="121" fillId="0" borderId="0" xfId="427" applyNumberFormat="1" applyFont="1" applyFill="1" applyBorder="1" applyAlignment="1">
      <alignment horizontal="center"/>
    </xf>
    <xf numFmtId="0" fontId="121" fillId="0" borderId="0" xfId="0" applyFont="1" applyFill="1" applyBorder="1" applyAlignment="1"/>
    <xf numFmtId="0" fontId="121" fillId="0" borderId="0" xfId="0" applyFont="1" applyFill="1" applyBorder="1"/>
    <xf numFmtId="0" fontId="121" fillId="0" borderId="0" xfId="0" applyFont="1" applyFill="1" applyBorder="1" applyAlignment="1">
      <alignment horizontal="left"/>
    </xf>
    <xf numFmtId="0" fontId="46" fillId="0" borderId="0" xfId="432" applyFont="1" applyFill="1" applyBorder="1"/>
    <xf numFmtId="0" fontId="121" fillId="0" borderId="22" xfId="0" quotePrefix="1" applyFont="1" applyFill="1" applyBorder="1" applyAlignment="1">
      <alignment horizontal="left"/>
    </xf>
    <xf numFmtId="0" fontId="46" fillId="0" borderId="15" xfId="432" applyFont="1" applyFill="1" applyBorder="1"/>
    <xf numFmtId="0" fontId="106" fillId="0" borderId="15" xfId="0" quotePrefix="1" applyFont="1" applyFill="1" applyBorder="1" applyAlignment="1">
      <alignment horizontal="left"/>
    </xf>
    <xf numFmtId="0" fontId="123" fillId="0" borderId="0" xfId="0" quotePrefix="1" applyFont="1" applyFill="1" applyBorder="1"/>
    <xf numFmtId="0" fontId="54" fillId="0" borderId="21" xfId="432" applyFill="1" applyBorder="1"/>
    <xf numFmtId="0" fontId="94" fillId="0" borderId="20" xfId="435" applyFont="1" applyFill="1" applyBorder="1" applyAlignment="1">
      <alignment horizontal="center"/>
    </xf>
    <xf numFmtId="0" fontId="106" fillId="0" borderId="0" xfId="427" applyFont="1" applyFill="1" applyBorder="1"/>
    <xf numFmtId="0" fontId="106" fillId="0" borderId="0" xfId="427" quotePrefix="1" applyFont="1" applyFill="1" applyBorder="1" applyAlignment="1">
      <alignment horizontal="left" vertical="top"/>
    </xf>
    <xf numFmtId="0" fontId="116" fillId="0" borderId="18" xfId="0" quotePrefix="1" applyFont="1" applyFill="1" applyBorder="1"/>
    <xf numFmtId="170" fontId="99" fillId="0" borderId="15" xfId="0" applyNumberFormat="1" applyFont="1" applyFill="1" applyBorder="1" applyAlignment="1">
      <alignment horizontal="center"/>
    </xf>
    <xf numFmtId="168" fontId="121" fillId="0" borderId="0" xfId="0" applyNumberFormat="1" applyFont="1" applyFill="1" applyBorder="1" applyAlignment="1">
      <alignment horizontal="right"/>
    </xf>
    <xf numFmtId="4" fontId="121" fillId="0" borderId="0" xfId="0" applyNumberFormat="1" applyFont="1" applyFill="1" applyBorder="1" applyAlignment="1">
      <alignment horizontal="center"/>
    </xf>
    <xf numFmtId="167" fontId="121" fillId="0" borderId="0" xfId="435" applyNumberFormat="1" applyFont="1" applyFill="1" applyBorder="1" applyAlignment="1">
      <alignment horizontal="center"/>
    </xf>
    <xf numFmtId="0" fontId="121" fillId="0" borderId="15" xfId="435" quotePrefix="1" applyFont="1" applyFill="1" applyBorder="1"/>
    <xf numFmtId="3" fontId="121" fillId="0" borderId="0" xfId="435" applyNumberFormat="1" applyFont="1" applyFill="1" applyBorder="1" applyAlignment="1">
      <alignment horizontal="center"/>
    </xf>
    <xf numFmtId="4" fontId="121" fillId="0" borderId="0" xfId="435" applyNumberFormat="1" applyFont="1" applyFill="1" applyBorder="1" applyAlignment="1">
      <alignment horizontal="center"/>
    </xf>
    <xf numFmtId="0" fontId="128" fillId="0" borderId="17" xfId="435" applyFont="1" applyFill="1" applyBorder="1"/>
    <xf numFmtId="168" fontId="99" fillId="0" borderId="0" xfId="435" applyNumberFormat="1" applyFont="1" applyFill="1" applyBorder="1" applyAlignment="1">
      <alignment horizontal="center"/>
    </xf>
    <xf numFmtId="169" fontId="121" fillId="0" borderId="0" xfId="435" applyNumberFormat="1" applyFont="1" applyFill="1" applyBorder="1" applyAlignment="1">
      <alignment horizontal="center"/>
    </xf>
    <xf numFmtId="169" fontId="106" fillId="0" borderId="0" xfId="435" applyNumberFormat="1" applyFont="1" applyFill="1" applyBorder="1" applyAlignment="1">
      <alignment horizontal="center"/>
    </xf>
    <xf numFmtId="0" fontId="106" fillId="0" borderId="18" xfId="435" quotePrefix="1" applyFont="1" applyFill="1" applyBorder="1"/>
    <xf numFmtId="170" fontId="121" fillId="0" borderId="0" xfId="0" applyNumberFormat="1" applyFont="1" applyFill="1" applyBorder="1"/>
    <xf numFmtId="4" fontId="99" fillId="0" borderId="0" xfId="0" applyNumberFormat="1" applyFont="1" applyFill="1" applyBorder="1" applyAlignment="1"/>
    <xf numFmtId="0" fontId="98" fillId="0" borderId="0" xfId="0" applyFont="1" applyFill="1" applyBorder="1" applyAlignment="1"/>
    <xf numFmtId="0" fontId="99" fillId="0" borderId="0" xfId="0" applyNumberFormat="1" applyFont="1" applyFill="1" applyBorder="1" applyAlignment="1">
      <alignment horizontal="center" vertical="center" wrapText="1"/>
    </xf>
    <xf numFmtId="4" fontId="99" fillId="0" borderId="0" xfId="0" applyNumberFormat="1" applyFont="1" applyFill="1" applyBorder="1" applyAlignment="1">
      <alignment horizontal="center" vertical="center" wrapText="1"/>
    </xf>
    <xf numFmtId="0" fontId="145" fillId="0" borderId="0" xfId="0" applyFont="1" applyFill="1" applyBorder="1" applyAlignment="1"/>
    <xf numFmtId="0" fontId="99" fillId="0" borderId="22" xfId="0" applyFont="1" applyFill="1" applyBorder="1" applyAlignment="1"/>
    <xf numFmtId="0" fontId="98" fillId="0" borderId="21" xfId="0" applyFont="1" applyFill="1" applyBorder="1" applyAlignment="1">
      <alignment horizontal="center" vertical="center" wrapText="1"/>
    </xf>
    <xf numFmtId="0" fontId="99" fillId="0" borderId="17" xfId="0" applyNumberFormat="1" applyFont="1" applyFill="1" applyBorder="1" applyAlignment="1">
      <alignment horizontal="center" vertical="center" wrapText="1"/>
    </xf>
    <xf numFmtId="0" fontId="99" fillId="0" borderId="21" xfId="0" applyFont="1" applyFill="1" applyBorder="1" applyAlignment="1"/>
    <xf numFmtId="0" fontId="137" fillId="0" borderId="20" xfId="428" applyFont="1" applyFill="1" applyBorder="1"/>
    <xf numFmtId="4" fontId="121" fillId="0" borderId="0" xfId="0" applyNumberFormat="1" applyFont="1" applyFill="1" applyBorder="1" applyAlignment="1"/>
    <xf numFmtId="4" fontId="121" fillId="0" borderId="0" xfId="0" quotePrefix="1" applyNumberFormat="1" applyFont="1" applyFill="1" applyBorder="1" applyAlignment="1"/>
    <xf numFmtId="0" fontId="99" fillId="0" borderId="18" xfId="0" applyFont="1" applyFill="1" applyBorder="1" applyAlignment="1"/>
    <xf numFmtId="0" fontId="146" fillId="0" borderId="0" xfId="0" applyFont="1" applyFill="1" applyBorder="1" applyAlignment="1">
      <alignment horizontal="center"/>
    </xf>
    <xf numFmtId="0" fontId="146" fillId="0" borderId="0" xfId="0" applyFont="1" applyFill="1" applyBorder="1"/>
    <xf numFmtId="167" fontId="121" fillId="0" borderId="0" xfId="0" applyNumberFormat="1" applyFont="1" applyFill="1" applyBorder="1" applyAlignment="1">
      <alignment horizontal="center"/>
    </xf>
    <xf numFmtId="0" fontId="99" fillId="0" borderId="21" xfId="435" applyFont="1" applyFill="1" applyBorder="1" applyAlignment="1">
      <alignment horizontal="left"/>
    </xf>
    <xf numFmtId="2" fontId="99" fillId="0" borderId="0" xfId="0" applyNumberFormat="1" applyFont="1" applyFill="1" applyBorder="1" applyAlignment="1">
      <alignment horizontal="left"/>
    </xf>
    <xf numFmtId="0" fontId="99" fillId="0" borderId="15" xfId="435" quotePrefix="1" applyFont="1" applyFill="1" applyBorder="1"/>
    <xf numFmtId="2" fontId="121" fillId="0" borderId="0" xfId="0" applyNumberFormat="1" applyFont="1" applyFill="1" applyBorder="1" applyAlignment="1">
      <alignment horizontal="left"/>
    </xf>
    <xf numFmtId="2" fontId="121" fillId="0" borderId="15" xfId="435" quotePrefix="1" applyNumberFormat="1" applyFont="1" applyFill="1" applyBorder="1"/>
    <xf numFmtId="0" fontId="148" fillId="0" borderId="18" xfId="0" applyFont="1" applyFill="1" applyBorder="1"/>
    <xf numFmtId="0" fontId="147" fillId="0" borderId="0" xfId="0" applyFont="1" applyFill="1" applyBorder="1"/>
    <xf numFmtId="0" fontId="99" fillId="0" borderId="22" xfId="0" quotePrefix="1" applyFont="1" applyFill="1" applyBorder="1"/>
    <xf numFmtId="0" fontId="98" fillId="0" borderId="15" xfId="0" applyFont="1" applyFill="1" applyBorder="1"/>
    <xf numFmtId="0" fontId="98" fillId="0" borderId="0" xfId="0" applyFont="1" applyFill="1" applyBorder="1"/>
    <xf numFmtId="0" fontId="121" fillId="0" borderId="0" xfId="0" quotePrefix="1" applyFont="1" applyFill="1" applyBorder="1" applyAlignment="1">
      <alignment vertical="top"/>
    </xf>
    <xf numFmtId="167" fontId="90" fillId="0" borderId="17" xfId="435" applyNumberFormat="1" applyFont="1" applyFill="1" applyBorder="1" applyAlignment="1">
      <alignment horizontal="center"/>
    </xf>
    <xf numFmtId="0" fontId="99" fillId="0" borderId="17" xfId="435" applyNumberFormat="1" applyFont="1" applyFill="1" applyBorder="1"/>
    <xf numFmtId="0" fontId="148" fillId="0" borderId="19" xfId="0" applyFont="1" applyFill="1" applyBorder="1"/>
    <xf numFmtId="167" fontId="99" fillId="0" borderId="18" xfId="0" applyNumberFormat="1" applyFont="1" applyFill="1" applyBorder="1" applyAlignment="1">
      <alignment horizontal="center"/>
    </xf>
    <xf numFmtId="0" fontId="121" fillId="0" borderId="0" xfId="0" quotePrefix="1" applyFont="1" applyFill="1" applyBorder="1" applyAlignment="1"/>
    <xf numFmtId="0" fontId="0" fillId="0" borderId="21" xfId="0" applyFill="1" applyBorder="1" applyAlignment="1"/>
    <xf numFmtId="0" fontId="0" fillId="0" borderId="0" xfId="0" applyFill="1" applyBorder="1" applyAlignment="1"/>
    <xf numFmtId="0" fontId="0" fillId="0" borderId="20" xfId="0" applyFill="1" applyBorder="1" applyAlignment="1"/>
    <xf numFmtId="0" fontId="0" fillId="0" borderId="18" xfId="0" applyFill="1" applyBorder="1" applyAlignment="1"/>
    <xf numFmtId="167" fontId="0" fillId="0" borderId="0" xfId="0" applyNumberFormat="1" applyFont="1" applyFill="1" applyBorder="1" applyAlignment="1">
      <alignment horizontal="center"/>
    </xf>
    <xf numFmtId="2" fontId="99" fillId="0" borderId="18" xfId="0" applyNumberFormat="1" applyFont="1" applyFill="1" applyBorder="1" applyAlignment="1">
      <alignment horizontal="left"/>
    </xf>
    <xf numFmtId="0" fontId="126" fillId="0" borderId="22" xfId="428" applyFont="1" applyFill="1" applyBorder="1"/>
    <xf numFmtId="168" fontId="0" fillId="0" borderId="17" xfId="0" applyNumberFormat="1" applyFill="1" applyBorder="1" applyAlignment="1">
      <alignment horizontal="center"/>
    </xf>
    <xf numFmtId="0" fontId="0" fillId="0" borderId="19" xfId="0" applyFill="1" applyBorder="1" applyAlignment="1">
      <alignment horizontal="center"/>
    </xf>
    <xf numFmtId="168" fontId="121" fillId="0" borderId="0" xfId="0" applyNumberFormat="1" applyFont="1" applyFill="1" applyBorder="1" applyAlignment="1">
      <alignment horizontal="center"/>
    </xf>
    <xf numFmtId="0" fontId="99" fillId="0" borderId="39" xfId="435" applyFont="1" applyFill="1" applyBorder="1" applyAlignment="1">
      <alignment horizontal="center"/>
    </xf>
    <xf numFmtId="3" fontId="121" fillId="0" borderId="40" xfId="0" applyNumberFormat="1" applyFont="1" applyFill="1" applyBorder="1" applyAlignment="1">
      <alignment horizontal="center"/>
    </xf>
    <xf numFmtId="0" fontId="121" fillId="0" borderId="39" xfId="0" quotePrefix="1" applyFont="1" applyFill="1" applyBorder="1" applyAlignment="1">
      <alignment horizontal="center"/>
    </xf>
    <xf numFmtId="3" fontId="99" fillId="0" borderId="39" xfId="0" applyNumberFormat="1" applyFont="1" applyFill="1" applyBorder="1" applyAlignment="1">
      <alignment horizontal="center"/>
    </xf>
    <xf numFmtId="0" fontId="0" fillId="0" borderId="22" xfId="0" applyFill="1" applyBorder="1" applyAlignment="1">
      <alignment horizontal="center"/>
    </xf>
    <xf numFmtId="0" fontId="123" fillId="0" borderId="21" xfId="0" applyFont="1" applyFill="1" applyBorder="1" applyAlignment="1">
      <alignment horizontal="left"/>
    </xf>
    <xf numFmtId="0" fontId="0" fillId="0" borderId="17" xfId="0" applyFill="1" applyBorder="1" applyAlignment="1">
      <alignment horizontal="left"/>
    </xf>
    <xf numFmtId="167" fontId="0" fillId="0" borderId="0" xfId="0" applyNumberFormat="1" applyFill="1" applyBorder="1" applyAlignment="1">
      <alignment horizontal="center"/>
    </xf>
    <xf numFmtId="167" fontId="0" fillId="0" borderId="18" xfId="0" applyNumberFormat="1" applyFill="1" applyBorder="1" applyAlignment="1">
      <alignment horizontal="center"/>
    </xf>
    <xf numFmtId="0" fontId="121" fillId="0" borderId="15" xfId="0" quotePrefix="1" applyFont="1" applyFill="1" applyBorder="1" applyAlignment="1">
      <alignment horizontal="center"/>
    </xf>
    <xf numFmtId="0" fontId="127" fillId="0" borderId="22" xfId="428" applyFont="1" applyFill="1" applyBorder="1"/>
    <xf numFmtId="167" fontId="0" fillId="0" borderId="17" xfId="0" applyNumberFormat="1" applyFill="1" applyBorder="1" applyAlignment="1">
      <alignment horizontal="center"/>
    </xf>
    <xf numFmtId="167" fontId="0" fillId="0" borderId="19" xfId="0" applyNumberFormat="1" applyFill="1" applyBorder="1" applyAlignment="1">
      <alignment horizontal="center"/>
    </xf>
    <xf numFmtId="0" fontId="114" fillId="0" borderId="0" xfId="0" applyFont="1" applyFill="1" applyAlignment="1">
      <alignment horizontal="center"/>
    </xf>
    <xf numFmtId="0" fontId="121" fillId="0" borderId="15" xfId="435" quotePrefix="1" applyFont="1" applyFill="1" applyBorder="1" applyAlignment="1">
      <alignment horizontal="center"/>
    </xf>
    <xf numFmtId="0" fontId="99" fillId="0" borderId="22" xfId="0" applyFont="1" applyFill="1" applyBorder="1" applyAlignment="1">
      <alignment horizontal="left"/>
    </xf>
    <xf numFmtId="3" fontId="121" fillId="0" borderId="0" xfId="0" applyNumberFormat="1" applyFont="1" applyFill="1" applyBorder="1" applyAlignment="1">
      <alignment horizontal="center"/>
    </xf>
    <xf numFmtId="0" fontId="106" fillId="0" borderId="15" xfId="0" quotePrefix="1" applyFont="1" applyFill="1" applyBorder="1" applyAlignment="1">
      <alignment horizontal="center"/>
    </xf>
    <xf numFmtId="167" fontId="121" fillId="0" borderId="35" xfId="427" applyNumberFormat="1" applyFont="1" applyFill="1" applyBorder="1" applyAlignment="1">
      <alignment horizontal="center"/>
    </xf>
    <xf numFmtId="167" fontId="99" fillId="0" borderId="35" xfId="427" applyNumberFormat="1" applyFont="1" applyFill="1" applyBorder="1" applyAlignment="1">
      <alignment horizontal="center"/>
    </xf>
    <xf numFmtId="0" fontId="0" fillId="0" borderId="0" xfId="0" applyNumberFormat="1" applyFill="1" applyBorder="1" applyAlignment="1">
      <alignment horizontal="center"/>
    </xf>
    <xf numFmtId="0" fontId="106" fillId="0" borderId="0" xfId="0" applyNumberFormat="1" applyFont="1" applyFill="1" applyBorder="1" applyAlignment="1">
      <alignment horizontal="center"/>
    </xf>
    <xf numFmtId="1" fontId="0" fillId="0" borderId="0" xfId="0" applyNumberFormat="1" applyFont="1" applyFill="1" applyBorder="1" applyAlignment="1">
      <alignment horizontal="center"/>
    </xf>
    <xf numFmtId="0" fontId="0" fillId="0" borderId="21" xfId="0" applyFont="1" applyFill="1" applyBorder="1" applyAlignment="1">
      <alignment wrapText="1"/>
    </xf>
    <xf numFmtId="0" fontId="0" fillId="0" borderId="0" xfId="0" applyFont="1" applyFill="1" applyBorder="1" applyAlignment="1">
      <alignment horizontal="center" wrapText="1"/>
    </xf>
    <xf numFmtId="0" fontId="0" fillId="0" borderId="19" xfId="0" applyFont="1" applyFill="1" applyBorder="1" applyAlignment="1">
      <alignment horizontal="center" wrapText="1"/>
    </xf>
    <xf numFmtId="0" fontId="0" fillId="0" borderId="0" xfId="0" applyFill="1" applyAlignment="1">
      <alignment horizontal="center" wrapText="1"/>
    </xf>
    <xf numFmtId="171" fontId="0" fillId="0" borderId="0" xfId="0" applyNumberFormat="1" applyFill="1" applyBorder="1" applyAlignment="1">
      <alignment horizontal="center"/>
    </xf>
    <xf numFmtId="171" fontId="0" fillId="0" borderId="17" xfId="0" applyNumberFormat="1" applyFill="1" applyBorder="1" applyAlignment="1">
      <alignment horizontal="center"/>
    </xf>
    <xf numFmtId="0" fontId="0" fillId="0" borderId="0" xfId="0" quotePrefix="1" applyFont="1" applyFill="1" applyBorder="1" applyAlignment="1">
      <alignment horizontal="center"/>
    </xf>
    <xf numFmtId="0" fontId="121" fillId="0" borderId="15" xfId="0" quotePrefix="1" applyFont="1" applyFill="1" applyBorder="1" applyAlignment="1">
      <alignment horizontal="left"/>
    </xf>
    <xf numFmtId="3" fontId="0" fillId="0" borderId="0" xfId="0" applyNumberFormat="1" applyFont="1" applyFill="1" applyBorder="1" applyAlignment="1">
      <alignment horizontal="center"/>
    </xf>
    <xf numFmtId="0" fontId="0" fillId="0" borderId="17" xfId="0" applyFont="1" applyFill="1" applyBorder="1" applyAlignment="1">
      <alignment horizontal="center" wrapText="1"/>
    </xf>
    <xf numFmtId="3" fontId="99" fillId="0" borderId="0" xfId="0" applyNumberFormat="1" applyFont="1" applyFill="1" applyBorder="1" applyAlignment="1">
      <alignment horizontal="center"/>
    </xf>
    <xf numFmtId="0" fontId="114" fillId="0" borderId="0" xfId="0" applyFont="1" applyFill="1" applyBorder="1" applyAlignment="1">
      <alignment horizontal="left"/>
    </xf>
    <xf numFmtId="2" fontId="99" fillId="0" borderId="0" xfId="0" applyNumberFormat="1" applyFont="1" applyFill="1" applyBorder="1" applyAlignment="1"/>
    <xf numFmtId="0" fontId="137" fillId="0" borderId="18" xfId="428" applyFont="1" applyFill="1" applyBorder="1" applyAlignment="1">
      <alignment horizontal="center"/>
    </xf>
    <xf numFmtId="170" fontId="149" fillId="0" borderId="17" xfId="0" applyNumberFormat="1" applyFont="1" applyFill="1" applyBorder="1"/>
    <xf numFmtId="0" fontId="106" fillId="0" borderId="0" xfId="0" quotePrefix="1" applyFont="1" applyFill="1" applyBorder="1" applyAlignment="1">
      <alignment horizontal="left"/>
    </xf>
    <xf numFmtId="0" fontId="121" fillId="0" borderId="21" xfId="427" applyFont="1" applyFill="1" applyBorder="1" applyAlignment="1">
      <alignment horizontal="center"/>
    </xf>
    <xf numFmtId="0" fontId="99" fillId="0" borderId="21" xfId="427" applyFont="1" applyFill="1" applyBorder="1" applyAlignment="1">
      <alignment horizontal="center"/>
    </xf>
    <xf numFmtId="0" fontId="141" fillId="0" borderId="0" xfId="427" quotePrefix="1" applyFont="1" applyFill="1" applyBorder="1" applyAlignment="1">
      <alignment horizontal="center"/>
    </xf>
    <xf numFmtId="0" fontId="101" fillId="0" borderId="0" xfId="433" applyFont="1" applyFill="1" applyBorder="1" applyAlignment="1">
      <alignment horizontal="center"/>
    </xf>
    <xf numFmtId="0" fontId="150" fillId="0" borderId="0" xfId="432" applyFont="1" applyFill="1" applyBorder="1" applyAlignment="1">
      <alignment horizontal="center"/>
    </xf>
    <xf numFmtId="0" fontId="0" fillId="0" borderId="21" xfId="0" applyFill="1" applyBorder="1" applyAlignment="1">
      <alignment horizontal="right"/>
    </xf>
    <xf numFmtId="14" fontId="93" fillId="0" borderId="0" xfId="0" applyNumberFormat="1" applyFont="1" applyFill="1" applyBorder="1"/>
    <xf numFmtId="0" fontId="93" fillId="0" borderId="0" xfId="0" applyFont="1" applyFill="1" applyBorder="1" applyAlignment="1">
      <alignment horizontal="left"/>
    </xf>
    <xf numFmtId="0" fontId="93" fillId="0" borderId="21" xfId="0" applyFont="1" applyFill="1" applyBorder="1" applyAlignment="1">
      <alignment horizontal="right"/>
    </xf>
    <xf numFmtId="0" fontId="121" fillId="0" borderId="22" xfId="435" applyFont="1" applyFill="1" applyBorder="1"/>
    <xf numFmtId="0" fontId="0" fillId="0" borderId="0" xfId="0" applyFill="1" applyBorder="1" applyAlignment="1">
      <alignment horizontal="right"/>
    </xf>
    <xf numFmtId="0" fontId="115" fillId="0" borderId="21" xfId="0" applyFont="1" applyFill="1" applyBorder="1"/>
    <xf numFmtId="14" fontId="0" fillId="0" borderId="21" xfId="0" applyNumberFormat="1" applyFont="1" applyFill="1" applyBorder="1" applyAlignment="1">
      <alignment horizontal="center"/>
    </xf>
    <xf numFmtId="14" fontId="0" fillId="0" borderId="18" xfId="0" applyNumberFormat="1" applyFont="1" applyFill="1" applyBorder="1" applyAlignment="1">
      <alignment horizontal="center"/>
    </xf>
    <xf numFmtId="0" fontId="156" fillId="0" borderId="0" xfId="432" applyFont="1" applyFill="1" applyBorder="1" applyAlignment="1">
      <alignment horizontal="center"/>
    </xf>
    <xf numFmtId="0" fontId="157" fillId="0" borderId="17" xfId="442" applyFont="1" applyFill="1" applyBorder="1"/>
    <xf numFmtId="0" fontId="158" fillId="0" borderId="17" xfId="0" applyFont="1" applyFill="1" applyBorder="1"/>
    <xf numFmtId="0" fontId="114" fillId="0" borderId="0" xfId="0" quotePrefix="1" applyFont="1" applyFill="1" applyBorder="1"/>
    <xf numFmtId="0" fontId="46" fillId="0" borderId="0" xfId="435" applyFont="1" applyFill="1" applyBorder="1" applyAlignment="1">
      <alignment horizontal="center"/>
    </xf>
    <xf numFmtId="0" fontId="46" fillId="0" borderId="22" xfId="435" applyFont="1" applyFill="1" applyBorder="1" applyAlignment="1"/>
    <xf numFmtId="0" fontId="0" fillId="0" borderId="15" xfId="0" applyFill="1" applyBorder="1" applyAlignment="1"/>
    <xf numFmtId="0" fontId="46" fillId="0" borderId="21" xfId="435" applyFont="1" applyFill="1" applyBorder="1" applyAlignment="1"/>
    <xf numFmtId="0" fontId="46" fillId="0" borderId="20" xfId="435" applyFont="1" applyFill="1" applyBorder="1" applyAlignment="1"/>
    <xf numFmtId="0" fontId="46" fillId="0" borderId="20" xfId="435" applyFont="1" applyFill="1" applyBorder="1"/>
    <xf numFmtId="1" fontId="99" fillId="0" borderId="21" xfId="427" applyNumberFormat="1" applyFont="1" applyFill="1" applyBorder="1" applyAlignment="1">
      <alignment horizontal="center"/>
    </xf>
    <xf numFmtId="0" fontId="0" fillId="0" borderId="0" xfId="0" quotePrefix="1" applyFill="1" applyBorder="1" applyAlignment="1"/>
    <xf numFmtId="0" fontId="50" fillId="0" borderId="0" xfId="0" applyFont="1" applyFill="1" applyBorder="1" applyAlignment="1">
      <alignment horizontal="left"/>
    </xf>
    <xf numFmtId="0" fontId="50" fillId="0" borderId="0" xfId="0" applyFont="1" applyFill="1" applyBorder="1" applyAlignment="1">
      <alignment horizontal="center"/>
    </xf>
    <xf numFmtId="14" fontId="121" fillId="0" borderId="0" xfId="0" applyNumberFormat="1" applyFont="1" applyFill="1" applyBorder="1" applyAlignment="1">
      <alignment horizontal="center"/>
    </xf>
    <xf numFmtId="14" fontId="0" fillId="0" borderId="18" xfId="0" applyNumberFormat="1" applyFill="1" applyBorder="1" applyAlignment="1">
      <alignment horizontal="center"/>
    </xf>
    <xf numFmtId="1" fontId="99" fillId="0" borderId="22" xfId="427" applyNumberFormat="1" applyFont="1" applyFill="1" applyBorder="1" applyAlignment="1">
      <alignment horizontal="center"/>
    </xf>
    <xf numFmtId="1" fontId="99" fillId="0" borderId="15" xfId="427" applyNumberFormat="1" applyFont="1" applyFill="1" applyBorder="1" applyAlignment="1">
      <alignment horizontal="center"/>
    </xf>
    <xf numFmtId="0" fontId="46" fillId="0" borderId="22" xfId="442" applyFont="1" applyFill="1" applyBorder="1"/>
    <xf numFmtId="0" fontId="47" fillId="0" borderId="15" xfId="442" applyFont="1" applyFill="1" applyBorder="1"/>
    <xf numFmtId="0" fontId="47" fillId="0" borderId="16" xfId="442" applyFont="1" applyFill="1" applyBorder="1"/>
    <xf numFmtId="0" fontId="46" fillId="0" borderId="0" xfId="442" applyFont="1" applyFill="1"/>
    <xf numFmtId="0" fontId="46" fillId="0" borderId="21" xfId="442" applyFont="1" applyFill="1" applyBorder="1"/>
    <xf numFmtId="0" fontId="46" fillId="0" borderId="0" xfId="442" applyFont="1" applyFill="1" applyBorder="1"/>
    <xf numFmtId="0" fontId="46" fillId="0" borderId="17" xfId="442" applyFont="1" applyFill="1" applyBorder="1"/>
    <xf numFmtId="0" fontId="46" fillId="0" borderId="0" xfId="442" applyFont="1" applyFill="1" applyBorder="1" applyAlignment="1">
      <alignment horizontal="center"/>
    </xf>
    <xf numFmtId="0" fontId="48" fillId="0" borderId="0" xfId="442" applyFont="1" applyFill="1" applyBorder="1" applyAlignment="1">
      <alignment horizontal="center"/>
    </xf>
    <xf numFmtId="0" fontId="48" fillId="0" borderId="17" xfId="442" applyFont="1" applyFill="1" applyBorder="1" applyAlignment="1">
      <alignment horizontal="center"/>
    </xf>
    <xf numFmtId="0" fontId="48" fillId="0" borderId="21" xfId="0" quotePrefix="1" applyFont="1" applyFill="1" applyBorder="1"/>
    <xf numFmtId="170" fontId="46" fillId="0" borderId="0" xfId="442" applyNumberFormat="1" applyFont="1" applyFill="1" applyBorder="1"/>
    <xf numFmtId="2" fontId="50" fillId="0" borderId="17" xfId="442" applyNumberFormat="1" applyFont="1" applyFill="1" applyBorder="1" applyAlignment="1">
      <alignment horizontal="center"/>
    </xf>
    <xf numFmtId="14" fontId="50" fillId="0" borderId="0" xfId="442" applyNumberFormat="1" applyFont="1" applyFill="1" applyBorder="1"/>
    <xf numFmtId="2" fontId="46" fillId="0" borderId="0" xfId="442" applyNumberFormat="1" applyFont="1" applyFill="1" applyBorder="1" applyAlignment="1">
      <alignment horizontal="center"/>
    </xf>
    <xf numFmtId="2" fontId="46" fillId="0" borderId="17" xfId="442" applyNumberFormat="1" applyFont="1" applyFill="1" applyBorder="1" applyAlignment="1">
      <alignment horizontal="center"/>
    </xf>
    <xf numFmtId="0" fontId="46" fillId="0" borderId="21" xfId="442" applyFont="1" applyFill="1" applyBorder="1" applyAlignment="1">
      <alignment horizontal="left"/>
    </xf>
    <xf numFmtId="14" fontId="46" fillId="0" borderId="0" xfId="442" applyNumberFormat="1" applyFont="1" applyFill="1" applyBorder="1"/>
    <xf numFmtId="0" fontId="46" fillId="0" borderId="20" xfId="442" applyFont="1" applyFill="1" applyBorder="1"/>
    <xf numFmtId="0" fontId="46" fillId="0" borderId="18" xfId="442" applyFont="1" applyFill="1" applyBorder="1"/>
    <xf numFmtId="0" fontId="46" fillId="0" borderId="19" xfId="442" applyFont="1" applyFill="1" applyBorder="1"/>
    <xf numFmtId="0" fontId="46" fillId="0" borderId="15" xfId="442" applyFont="1" applyFill="1" applyBorder="1"/>
    <xf numFmtId="0" fontId="46" fillId="0" borderId="16" xfId="442" applyFont="1" applyFill="1" applyBorder="1"/>
    <xf numFmtId="0" fontId="77" fillId="0" borderId="21" xfId="442" applyFont="1" applyFill="1" applyBorder="1"/>
    <xf numFmtId="0" fontId="50" fillId="0" borderId="0" xfId="442" quotePrefix="1" applyFont="1" applyFill="1" applyBorder="1" applyAlignment="1">
      <alignment vertical="top"/>
    </xf>
    <xf numFmtId="0" fontId="46" fillId="0" borderId="0" xfId="442" quotePrefix="1" applyFont="1" applyFill="1" applyBorder="1" applyAlignment="1">
      <alignment vertical="top"/>
    </xf>
    <xf numFmtId="178" fontId="50" fillId="0" borderId="0" xfId="442" applyNumberFormat="1" applyFont="1" applyFill="1" applyBorder="1" applyAlignment="1">
      <alignment horizontal="center"/>
    </xf>
    <xf numFmtId="14" fontId="46" fillId="0" borderId="0" xfId="442" applyNumberFormat="1" applyFont="1" applyFill="1" applyBorder="1" applyAlignment="1">
      <alignment horizontal="center"/>
    </xf>
    <xf numFmtId="170" fontId="46" fillId="0" borderId="0" xfId="442" applyNumberFormat="1" applyFont="1" applyFill="1" applyBorder="1" applyAlignment="1">
      <alignment horizontal="center"/>
    </xf>
    <xf numFmtId="0" fontId="46" fillId="0" borderId="0" xfId="442" applyNumberFormat="1" applyFont="1" applyFill="1" applyBorder="1" applyAlignment="1">
      <alignment horizontal="center"/>
    </xf>
    <xf numFmtId="0" fontId="46" fillId="0" borderId="15" xfId="442" applyNumberFormat="1" applyFont="1" applyFill="1" applyBorder="1"/>
    <xf numFmtId="0" fontId="50" fillId="0" borderId="0" xfId="442" quotePrefix="1" applyFont="1" applyFill="1" applyBorder="1"/>
    <xf numFmtId="14" fontId="50" fillId="0" borderId="0" xfId="442" applyNumberFormat="1" applyFont="1" applyFill="1" applyBorder="1" applyAlignment="1">
      <alignment horizontal="center"/>
    </xf>
    <xf numFmtId="14" fontId="46" fillId="0" borderId="17" xfId="442" applyNumberFormat="1" applyFont="1" applyFill="1" applyBorder="1" applyAlignment="1">
      <alignment horizontal="center"/>
    </xf>
    <xf numFmtId="0" fontId="46" fillId="0" borderId="17" xfId="442" applyFont="1" applyFill="1" applyBorder="1" applyAlignment="1">
      <alignment horizontal="center"/>
    </xf>
    <xf numFmtId="0" fontId="48" fillId="0" borderId="21" xfId="442" applyFont="1" applyFill="1" applyBorder="1"/>
    <xf numFmtId="170" fontId="46" fillId="0" borderId="21" xfId="427" applyNumberFormat="1" applyFont="1" applyFill="1" applyBorder="1" applyAlignment="1">
      <alignment horizontal="left"/>
    </xf>
    <xf numFmtId="0" fontId="48" fillId="0" borderId="20" xfId="442" applyFont="1" applyFill="1" applyBorder="1"/>
    <xf numFmtId="14" fontId="46" fillId="0" borderId="18" xfId="442" applyNumberFormat="1" applyFont="1" applyFill="1" applyBorder="1" applyAlignment="1">
      <alignment horizontal="center"/>
    </xf>
    <xf numFmtId="2" fontId="46" fillId="0" borderId="18" xfId="442" applyNumberFormat="1" applyFont="1" applyFill="1" applyBorder="1" applyAlignment="1">
      <alignment horizontal="center"/>
    </xf>
    <xf numFmtId="0" fontId="46" fillId="0" borderId="18" xfId="442" applyFont="1" applyFill="1" applyBorder="1" applyAlignment="1">
      <alignment horizontal="center"/>
    </xf>
    <xf numFmtId="0" fontId="46" fillId="0" borderId="19" xfId="442" applyFont="1" applyFill="1" applyBorder="1" applyAlignment="1">
      <alignment horizontal="center"/>
    </xf>
    <xf numFmtId="14" fontId="50" fillId="0" borderId="0" xfId="442" applyNumberFormat="1" applyFont="1" applyFill="1" applyBorder="1" applyAlignment="1"/>
    <xf numFmtId="2" fontId="46" fillId="0" borderId="0" xfId="442" applyNumberFormat="1" applyFont="1" applyFill="1" applyBorder="1" applyAlignment="1"/>
    <xf numFmtId="14" fontId="46" fillId="0" borderId="0" xfId="442" applyNumberFormat="1" applyFont="1" applyFill="1"/>
    <xf numFmtId="14" fontId="46" fillId="0" borderId="17" xfId="442" applyNumberFormat="1" applyFont="1" applyFill="1" applyBorder="1"/>
    <xf numFmtId="14" fontId="46" fillId="0" borderId="0" xfId="442" applyNumberFormat="1" applyFont="1" applyFill="1" applyBorder="1" applyAlignment="1"/>
    <xf numFmtId="14" fontId="46" fillId="0" borderId="18" xfId="442" applyNumberFormat="1" applyFont="1" applyFill="1" applyBorder="1"/>
    <xf numFmtId="0" fontId="46" fillId="0" borderId="22" xfId="442" applyFont="1" applyFill="1" applyBorder="1" applyAlignment="1"/>
    <xf numFmtId="14" fontId="46" fillId="0" borderId="15" xfId="442" applyNumberFormat="1" applyFont="1" applyFill="1" applyBorder="1"/>
    <xf numFmtId="14" fontId="50" fillId="0" borderId="0" xfId="442" quotePrefix="1" applyNumberFormat="1" applyFont="1" applyFill="1" applyBorder="1" applyAlignment="1">
      <alignment horizontal="left"/>
    </xf>
    <xf numFmtId="0" fontId="35" fillId="0" borderId="0" xfId="442" quotePrefix="1" applyFont="1" applyFill="1" applyBorder="1"/>
    <xf numFmtId="14" fontId="50" fillId="0" borderId="0" xfId="442" applyNumberFormat="1" applyFont="1" applyFill="1" applyBorder="1" applyAlignment="1">
      <alignment horizontal="right"/>
    </xf>
    <xf numFmtId="14" fontId="46" fillId="0" borderId="0" xfId="442" applyNumberFormat="1" applyFont="1" applyFill="1" applyBorder="1" applyAlignment="1">
      <alignment horizontal="right"/>
    </xf>
    <xf numFmtId="14" fontId="46" fillId="0" borderId="17" xfId="442" applyNumberFormat="1" applyFont="1" applyFill="1" applyBorder="1" applyAlignment="1">
      <alignment horizontal="right"/>
    </xf>
    <xf numFmtId="2" fontId="46" fillId="0" borderId="0" xfId="442" applyNumberFormat="1" applyFont="1" applyFill="1" applyBorder="1" applyAlignment="1">
      <alignment horizontal="right"/>
    </xf>
    <xf numFmtId="2" fontId="46" fillId="0" borderId="17" xfId="442" applyNumberFormat="1" applyFont="1" applyFill="1" applyBorder="1" applyAlignment="1">
      <alignment horizontal="right"/>
    </xf>
    <xf numFmtId="2" fontId="35" fillId="0" borderId="0" xfId="442" applyNumberFormat="1" applyFont="1" applyFill="1" applyBorder="1" applyAlignment="1">
      <alignment horizontal="right"/>
    </xf>
    <xf numFmtId="0" fontId="46" fillId="0" borderId="0" xfId="442" quotePrefix="1" applyFont="1" applyFill="1" applyBorder="1"/>
    <xf numFmtId="14" fontId="50" fillId="0" borderId="21" xfId="442" applyNumberFormat="1" applyFont="1" applyFill="1" applyBorder="1"/>
    <xf numFmtId="3" fontId="46" fillId="0" borderId="0" xfId="442" applyNumberFormat="1" applyFont="1" applyFill="1" applyBorder="1" applyAlignment="1">
      <alignment horizontal="center"/>
    </xf>
    <xf numFmtId="3" fontId="46" fillId="0" borderId="17" xfId="442" applyNumberFormat="1" applyFont="1" applyFill="1" applyBorder="1" applyAlignment="1">
      <alignment horizontal="center"/>
    </xf>
    <xf numFmtId="14" fontId="46" fillId="0" borderId="21" xfId="442" applyNumberFormat="1" applyFont="1" applyFill="1" applyBorder="1"/>
    <xf numFmtId="14" fontId="46" fillId="0" borderId="20" xfId="442" applyNumberFormat="1" applyFont="1" applyFill="1" applyBorder="1"/>
    <xf numFmtId="0" fontId="46" fillId="0" borderId="0" xfId="442" quotePrefix="1" applyFont="1" applyFill="1" applyBorder="1" applyAlignment="1">
      <alignment horizontal="right"/>
    </xf>
    <xf numFmtId="0" fontId="50" fillId="0" borderId="21" xfId="442" applyFont="1" applyFill="1" applyBorder="1"/>
    <xf numFmtId="0" fontId="46" fillId="0" borderId="0" xfId="442" applyFont="1" applyFill="1" applyBorder="1" applyAlignment="1">
      <alignment horizontal="left"/>
    </xf>
    <xf numFmtId="0" fontId="50" fillId="0" borderId="22" xfId="442" quotePrefix="1" applyFont="1" applyFill="1" applyBorder="1"/>
    <xf numFmtId="14" fontId="50" fillId="0" borderId="21" xfId="442" applyNumberFormat="1" applyFont="1" applyFill="1" applyBorder="1" applyAlignment="1">
      <alignment horizontal="center"/>
    </xf>
    <xf numFmtId="14" fontId="46" fillId="0" borderId="21" xfId="442" applyNumberFormat="1" applyFont="1" applyFill="1" applyBorder="1" applyAlignment="1">
      <alignment horizontal="center"/>
    </xf>
    <xf numFmtId="0" fontId="50" fillId="0" borderId="21" xfId="442" quotePrefix="1" applyFont="1" applyFill="1" applyBorder="1"/>
    <xf numFmtId="2" fontId="46" fillId="0" borderId="0" xfId="442" applyNumberFormat="1" applyFont="1" applyFill="1" applyAlignment="1">
      <alignment horizontal="center"/>
    </xf>
    <xf numFmtId="0" fontId="34" fillId="0" borderId="15" xfId="442" applyFont="1" applyFill="1" applyBorder="1"/>
    <xf numFmtId="0" fontId="46" fillId="0" borderId="21" xfId="442" applyNumberFormat="1" applyFont="1" applyFill="1" applyBorder="1"/>
    <xf numFmtId="0" fontId="34" fillId="0" borderId="0" xfId="442" applyFont="1" applyFill="1" applyBorder="1"/>
    <xf numFmtId="22" fontId="50" fillId="0" borderId="21" xfId="442" applyNumberFormat="1" applyFont="1" applyFill="1" applyBorder="1" applyAlignment="1">
      <alignment horizontal="left"/>
    </xf>
    <xf numFmtId="22" fontId="46" fillId="0" borderId="21" xfId="442" applyNumberFormat="1" applyFont="1" applyFill="1" applyBorder="1" applyAlignment="1">
      <alignment horizontal="left"/>
    </xf>
    <xf numFmtId="22" fontId="46" fillId="0" borderId="20" xfId="442" applyNumberFormat="1" applyFont="1" applyFill="1" applyBorder="1" applyAlignment="1">
      <alignment horizontal="left"/>
    </xf>
    <xf numFmtId="0" fontId="46" fillId="0" borderId="21" xfId="442" applyNumberFormat="1" applyFont="1" applyFill="1" applyBorder="1" applyAlignment="1">
      <alignment horizontal="left"/>
    </xf>
    <xf numFmtId="14" fontId="39" fillId="0" borderId="21" xfId="442" quotePrefix="1" applyNumberFormat="1" applyFont="1" applyFill="1" applyBorder="1"/>
    <xf numFmtId="14" fontId="50" fillId="0" borderId="0" xfId="442" quotePrefix="1" applyNumberFormat="1" applyFont="1" applyFill="1" applyBorder="1"/>
    <xf numFmtId="22" fontId="50" fillId="0" borderId="21" xfId="442" applyNumberFormat="1" applyFont="1" applyFill="1" applyBorder="1"/>
    <xf numFmtId="22" fontId="46" fillId="0" borderId="21" xfId="442" applyNumberFormat="1" applyFont="1" applyFill="1" applyBorder="1"/>
    <xf numFmtId="22" fontId="46" fillId="0" borderId="20" xfId="442" applyNumberFormat="1" applyFont="1" applyFill="1" applyBorder="1"/>
    <xf numFmtId="2" fontId="46" fillId="0" borderId="18" xfId="442" applyNumberFormat="1" applyFont="1" applyFill="1" applyBorder="1"/>
    <xf numFmtId="0" fontId="225" fillId="0" borderId="0" xfId="0" applyFont="1" applyFill="1" applyBorder="1"/>
    <xf numFmtId="22" fontId="50" fillId="0" borderId="0" xfId="442" applyNumberFormat="1" applyFont="1" applyFill="1" applyBorder="1"/>
    <xf numFmtId="2" fontId="225" fillId="0" borderId="0" xfId="0" applyNumberFormat="1" applyFont="1" applyFill="1" applyBorder="1" applyAlignment="1">
      <alignment horizontal="center"/>
    </xf>
    <xf numFmtId="2" fontId="50" fillId="0" borderId="0" xfId="442" applyNumberFormat="1" applyFont="1" applyFill="1" applyBorder="1" applyAlignment="1">
      <alignment horizontal="center"/>
    </xf>
    <xf numFmtId="14" fontId="225" fillId="0" borderId="21" xfId="0" applyNumberFormat="1" applyFont="1" applyFill="1" applyBorder="1"/>
    <xf numFmtId="0" fontId="225" fillId="0" borderId="17" xfId="0" applyFont="1" applyFill="1" applyBorder="1" applyAlignment="1">
      <alignment horizontal="center"/>
    </xf>
    <xf numFmtId="0" fontId="46" fillId="0" borderId="0" xfId="0" applyFont="1" applyFill="1" applyBorder="1"/>
    <xf numFmtId="0" fontId="47" fillId="0" borderId="17" xfId="442" applyFont="1" applyFill="1" applyBorder="1"/>
    <xf numFmtId="0" fontId="47" fillId="0" borderId="17" xfId="0" applyFont="1" applyFill="1" applyBorder="1"/>
    <xf numFmtId="14" fontId="46" fillId="0" borderId="0" xfId="435" applyNumberFormat="1" applyFont="1" applyFill="1" applyBorder="1" applyAlignment="1">
      <alignment horizontal="center"/>
    </xf>
    <xf numFmtId="180" fontId="46" fillId="0" borderId="0" xfId="311" applyNumberFormat="1" applyFont="1" applyFill="1" applyBorder="1" applyAlignment="1">
      <alignment horizontal="center" vertical="center"/>
    </xf>
    <xf numFmtId="180" fontId="225" fillId="0" borderId="0" xfId="311" applyNumberFormat="1" applyFont="1" applyFill="1" applyBorder="1" applyAlignment="1">
      <alignment horizontal="center" vertical="center"/>
    </xf>
    <xf numFmtId="14" fontId="46" fillId="0" borderId="15" xfId="435" applyNumberFormat="1" applyFont="1" applyFill="1" applyBorder="1" applyAlignment="1">
      <alignment horizontal="center"/>
    </xf>
    <xf numFmtId="0" fontId="225" fillId="0" borderId="15" xfId="0" applyFont="1" applyFill="1" applyBorder="1"/>
    <xf numFmtId="2" fontId="46" fillId="0" borderId="0" xfId="442" applyNumberFormat="1" applyFont="1" applyFill="1" applyBorder="1"/>
    <xf numFmtId="14" fontId="46" fillId="0" borderId="21" xfId="435" applyNumberFormat="1" applyFont="1" applyFill="1" applyBorder="1" applyAlignment="1">
      <alignment horizontal="left"/>
    </xf>
    <xf numFmtId="22" fontId="46" fillId="0" borderId="0" xfId="427" applyNumberFormat="1" applyFont="1" applyFill="1" applyBorder="1"/>
    <xf numFmtId="14" fontId="46" fillId="0" borderId="21" xfId="435" applyNumberFormat="1" applyFont="1" applyFill="1" applyBorder="1" applyAlignment="1">
      <alignment horizontal="center"/>
    </xf>
    <xf numFmtId="0" fontId="46" fillId="0" borderId="0" xfId="427" applyFont="1" applyFill="1" applyBorder="1" applyAlignment="1">
      <alignment horizontal="center"/>
    </xf>
    <xf numFmtId="22" fontId="46" fillId="0" borderId="21" xfId="427" applyNumberFormat="1" applyFont="1" applyFill="1" applyBorder="1" applyAlignment="1">
      <alignment horizontal="center" vertical="center"/>
    </xf>
    <xf numFmtId="14" fontId="46" fillId="0" borderId="20" xfId="435" applyNumberFormat="1" applyFont="1" applyFill="1" applyBorder="1" applyAlignment="1">
      <alignment horizontal="center"/>
    </xf>
    <xf numFmtId="14" fontId="46" fillId="0" borderId="18" xfId="435" applyNumberFormat="1" applyFont="1" applyFill="1" applyBorder="1" applyAlignment="1">
      <alignment horizontal="center"/>
    </xf>
    <xf numFmtId="22" fontId="50" fillId="0" borderId="21" xfId="442" applyNumberFormat="1" applyFont="1" applyFill="1" applyBorder="1" applyAlignment="1">
      <alignment horizontal="center"/>
    </xf>
    <xf numFmtId="14" fontId="46" fillId="0" borderId="22" xfId="435" applyNumberFormat="1" applyFont="1" applyFill="1" applyBorder="1" applyAlignment="1">
      <alignment horizontal="left" vertical="top"/>
    </xf>
    <xf numFmtId="0" fontId="50" fillId="0" borderId="21" xfId="0" quotePrefix="1" applyFont="1" applyFill="1" applyBorder="1" applyAlignment="1">
      <alignment horizontal="center"/>
    </xf>
    <xf numFmtId="0" fontId="226" fillId="0" borderId="24" xfId="433" applyNumberFormat="1" applyFont="1" applyFill="1" applyBorder="1" applyAlignment="1">
      <alignment horizontal="center"/>
    </xf>
    <xf numFmtId="0" fontId="0" fillId="0" borderId="0" xfId="0" quotePrefix="1" applyFill="1" applyBorder="1" applyAlignment="1">
      <alignment horizontal="center"/>
    </xf>
    <xf numFmtId="2" fontId="121" fillId="0" borderId="0" xfId="435" quotePrefix="1" applyNumberFormat="1" applyFont="1" applyFill="1" applyBorder="1" applyAlignment="1">
      <alignment horizontal="center" vertical="center"/>
    </xf>
    <xf numFmtId="0" fontId="50" fillId="0" borderId="21" xfId="428" applyFont="1" applyFill="1" applyBorder="1"/>
    <xf numFmtId="0" fontId="201" fillId="0" borderId="22" xfId="437" applyFont="1" applyFill="1" applyBorder="1"/>
    <xf numFmtId="0" fontId="201" fillId="0" borderId="15" xfId="437" applyFill="1" applyBorder="1"/>
    <xf numFmtId="0" fontId="201" fillId="0" borderId="16" xfId="437" applyFill="1" applyBorder="1"/>
    <xf numFmtId="0" fontId="44" fillId="0" borderId="22" xfId="437" applyFont="1" applyFill="1" applyBorder="1"/>
    <xf numFmtId="0" fontId="201" fillId="0" borderId="22" xfId="437" applyFill="1" applyBorder="1"/>
    <xf numFmtId="0" fontId="201" fillId="0" borderId="16" xfId="437" applyNumberFormat="1" applyFill="1" applyBorder="1"/>
    <xf numFmtId="0" fontId="201" fillId="0" borderId="21" xfId="437" applyFont="1" applyFill="1" applyBorder="1"/>
    <xf numFmtId="0" fontId="201" fillId="0" borderId="0" xfId="437" applyFill="1" applyBorder="1"/>
    <xf numFmtId="0" fontId="201" fillId="0" borderId="17" xfId="437" applyFill="1" applyBorder="1"/>
    <xf numFmtId="0" fontId="227" fillId="0" borderId="21" xfId="437" applyFont="1" applyFill="1" applyBorder="1"/>
    <xf numFmtId="0" fontId="201" fillId="0" borderId="17" xfId="437" applyNumberFormat="1" applyFill="1" applyBorder="1"/>
    <xf numFmtId="0" fontId="228" fillId="0" borderId="21" xfId="437" quotePrefix="1" applyFont="1" applyFill="1" applyBorder="1" applyAlignment="1">
      <alignment horizontal="left"/>
    </xf>
    <xf numFmtId="0" fontId="201" fillId="0" borderId="20" xfId="437" applyFill="1" applyBorder="1"/>
    <xf numFmtId="0" fontId="228" fillId="0" borderId="21" xfId="437" quotePrefix="1" applyFont="1" applyFill="1" applyBorder="1" applyAlignment="1">
      <alignment horizontal="left" readingOrder="1"/>
    </xf>
    <xf numFmtId="0" fontId="228" fillId="0" borderId="0" xfId="437" quotePrefix="1" applyFont="1" applyFill="1" applyBorder="1" applyAlignment="1">
      <alignment horizontal="left"/>
    </xf>
    <xf numFmtId="0" fontId="228" fillId="0" borderId="34" xfId="437" quotePrefix="1" applyFont="1" applyFill="1" applyBorder="1" applyAlignment="1">
      <alignment horizontal="left"/>
    </xf>
    <xf numFmtId="0" fontId="228" fillId="0" borderId="21" xfId="437" quotePrefix="1" applyFont="1" applyFill="1" applyBorder="1"/>
    <xf numFmtId="0" fontId="228" fillId="0" borderId="0" xfId="437" quotePrefix="1" applyFont="1" applyFill="1" applyBorder="1"/>
    <xf numFmtId="0" fontId="229" fillId="0" borderId="21" xfId="437" applyFont="1" applyFill="1" applyBorder="1" applyAlignment="1">
      <alignment horizontal="center"/>
    </xf>
    <xf numFmtId="0" fontId="229" fillId="0" borderId="0" xfId="437" applyFont="1" applyFill="1" applyBorder="1" applyAlignment="1">
      <alignment horizontal="center"/>
    </xf>
    <xf numFmtId="0" fontId="200" fillId="0" borderId="0" xfId="438" applyFont="1" applyFill="1" applyBorder="1" applyAlignment="1">
      <alignment horizontal="center"/>
    </xf>
    <xf numFmtId="170" fontId="228" fillId="0" borderId="21" xfId="437" quotePrefix="1" applyNumberFormat="1" applyFont="1" applyFill="1" applyBorder="1" applyAlignment="1">
      <alignment horizontal="center"/>
    </xf>
    <xf numFmtId="170" fontId="228" fillId="0" borderId="35" xfId="437" quotePrefix="1" applyNumberFormat="1" applyFont="1" applyFill="1" applyBorder="1" applyAlignment="1">
      <alignment horizontal="center"/>
    </xf>
    <xf numFmtId="167" fontId="201" fillId="0" borderId="17" xfId="437" applyNumberFormat="1" applyFill="1" applyBorder="1"/>
    <xf numFmtId="0" fontId="201" fillId="0" borderId="0" xfId="437" applyFont="1" applyFill="1" applyBorder="1"/>
    <xf numFmtId="0" fontId="201" fillId="0" borderId="0" xfId="437" applyFill="1" applyBorder="1" applyAlignment="1">
      <alignment horizontal="center"/>
    </xf>
    <xf numFmtId="167" fontId="201" fillId="0" borderId="17" xfId="437" applyNumberFormat="1" applyFill="1" applyBorder="1" applyAlignment="1">
      <alignment horizontal="center"/>
    </xf>
    <xf numFmtId="172" fontId="201" fillId="0" borderId="0" xfId="437" applyNumberFormat="1" applyFill="1" applyBorder="1"/>
    <xf numFmtId="172" fontId="224" fillId="0" borderId="17" xfId="437" applyNumberFormat="1" applyFont="1" applyFill="1" applyBorder="1"/>
    <xf numFmtId="172" fontId="224" fillId="0" borderId="21" xfId="437" applyNumberFormat="1" applyFont="1" applyFill="1" applyBorder="1"/>
    <xf numFmtId="172" fontId="224" fillId="0" borderId="0" xfId="437" applyNumberFormat="1" applyFont="1" applyFill="1" applyBorder="1"/>
    <xf numFmtId="0" fontId="201" fillId="0" borderId="19" xfId="437" applyNumberFormat="1" applyFill="1" applyBorder="1"/>
    <xf numFmtId="0" fontId="230" fillId="0" borderId="15" xfId="437" applyFont="1" applyFill="1" applyBorder="1"/>
    <xf numFmtId="0" fontId="228" fillId="0" borderId="21" xfId="437" quotePrefix="1" applyFont="1" applyFill="1" applyBorder="1" applyAlignment="1"/>
    <xf numFmtId="0" fontId="228" fillId="0" borderId="0" xfId="437" quotePrefix="1" applyFont="1" applyFill="1" applyBorder="1" applyAlignment="1"/>
    <xf numFmtId="0" fontId="230" fillId="0" borderId="0" xfId="437" applyFont="1" applyFill="1" applyBorder="1"/>
    <xf numFmtId="0" fontId="228" fillId="0" borderId="21" xfId="437" applyFont="1" applyFill="1" applyBorder="1" applyAlignment="1"/>
    <xf numFmtId="0" fontId="228" fillId="0" borderId="0" xfId="437" applyFont="1" applyFill="1" applyBorder="1" applyAlignment="1"/>
    <xf numFmtId="168" fontId="229" fillId="0" borderId="21" xfId="437" applyNumberFormat="1" applyFont="1" applyFill="1" applyBorder="1" applyAlignment="1">
      <alignment horizontal="center"/>
    </xf>
    <xf numFmtId="0" fontId="201" fillId="0" borderId="20" xfId="437" applyFill="1" applyBorder="1" applyAlignment="1">
      <alignment horizontal="left"/>
    </xf>
    <xf numFmtId="0" fontId="201" fillId="0" borderId="0" xfId="437" applyFill="1"/>
    <xf numFmtId="0" fontId="228" fillId="0" borderId="0" xfId="437" applyFont="1" applyFill="1" applyBorder="1" applyAlignment="1">
      <alignment horizontal="left"/>
    </xf>
    <xf numFmtId="167" fontId="228" fillId="0" borderId="0" xfId="437" quotePrefix="1" applyNumberFormat="1" applyFont="1" applyFill="1" applyBorder="1" applyAlignment="1"/>
    <xf numFmtId="167" fontId="228" fillId="0" borderId="0" xfId="437" applyNumberFormat="1" applyFont="1" applyFill="1" applyBorder="1" applyAlignment="1">
      <alignment horizontal="center"/>
    </xf>
    <xf numFmtId="167" fontId="201" fillId="0" borderId="0" xfId="437" applyNumberFormat="1" applyFill="1" applyBorder="1" applyAlignment="1">
      <alignment horizontal="center"/>
    </xf>
    <xf numFmtId="167" fontId="229" fillId="0" borderId="0" xfId="437" applyNumberFormat="1" applyFont="1" applyFill="1" applyBorder="1" applyAlignment="1">
      <alignment horizontal="center"/>
    </xf>
    <xf numFmtId="0" fontId="228" fillId="0" borderId="15" xfId="437" applyFont="1" applyFill="1" applyBorder="1"/>
    <xf numFmtId="167" fontId="228" fillId="0" borderId="15" xfId="437" applyNumberFormat="1" applyFont="1" applyFill="1" applyBorder="1"/>
    <xf numFmtId="171" fontId="228" fillId="0" borderId="15" xfId="437" applyNumberFormat="1" applyFont="1" applyFill="1" applyBorder="1"/>
    <xf numFmtId="0" fontId="231" fillId="0" borderId="17" xfId="437" applyFont="1" applyFill="1" applyBorder="1" applyAlignment="1">
      <alignment horizontal="center"/>
    </xf>
    <xf numFmtId="0" fontId="228" fillId="0" borderId="0" xfId="437" applyFont="1" applyFill="1" applyBorder="1"/>
    <xf numFmtId="0" fontId="229" fillId="0" borderId="17" xfId="437" applyFont="1" applyFill="1" applyBorder="1"/>
    <xf numFmtId="168" fontId="228" fillId="0" borderId="0" xfId="437" applyNumberFormat="1" applyFont="1" applyFill="1" applyBorder="1" applyAlignment="1">
      <alignment horizontal="center"/>
    </xf>
    <xf numFmtId="171" fontId="228" fillId="0" borderId="0" xfId="437" applyNumberFormat="1" applyFont="1" applyFill="1" applyBorder="1" applyAlignment="1">
      <alignment horizontal="center"/>
    </xf>
    <xf numFmtId="0" fontId="232" fillId="0" borderId="15" xfId="437" applyFont="1" applyFill="1" applyBorder="1"/>
    <xf numFmtId="167" fontId="232" fillId="0" borderId="15" xfId="437" applyNumberFormat="1" applyFont="1" applyFill="1" applyBorder="1"/>
    <xf numFmtId="171" fontId="232" fillId="0" borderId="15" xfId="437" applyNumberFormat="1" applyFont="1" applyFill="1" applyBorder="1"/>
    <xf numFmtId="0" fontId="233" fillId="0" borderId="17" xfId="437" applyFont="1" applyFill="1" applyBorder="1" applyAlignment="1">
      <alignment horizontal="center"/>
    </xf>
    <xf numFmtId="0" fontId="232" fillId="0" borderId="0" xfId="437" applyFont="1" applyFill="1" applyBorder="1"/>
    <xf numFmtId="167" fontId="232" fillId="0" borderId="0" xfId="437" applyNumberFormat="1" applyFont="1" applyFill="1" applyBorder="1" applyAlignment="1">
      <alignment horizontal="center"/>
    </xf>
    <xf numFmtId="168" fontId="232" fillId="0" borderId="0" xfId="437" applyNumberFormat="1" applyFont="1" applyFill="1" applyBorder="1" applyAlignment="1">
      <alignment horizontal="center"/>
    </xf>
    <xf numFmtId="171" fontId="232" fillId="0" borderId="0" xfId="437" applyNumberFormat="1" applyFont="1" applyFill="1" applyBorder="1" applyAlignment="1">
      <alignment horizontal="center"/>
    </xf>
    <xf numFmtId="0" fontId="229" fillId="0" borderId="21" xfId="437" applyFont="1" applyFill="1" applyBorder="1"/>
    <xf numFmtId="0" fontId="229" fillId="0" borderId="0" xfId="437" applyFont="1" applyFill="1" applyBorder="1"/>
    <xf numFmtId="1" fontId="229" fillId="0" borderId="0" xfId="437" applyNumberFormat="1" applyFont="1" applyFill="1" applyBorder="1"/>
    <xf numFmtId="0" fontId="229" fillId="0" borderId="20" xfId="437" applyFont="1" applyFill="1" applyBorder="1"/>
    <xf numFmtId="0" fontId="229" fillId="0" borderId="18" xfId="437" applyFont="1" applyFill="1" applyBorder="1"/>
    <xf numFmtId="1" fontId="229" fillId="0" borderId="18" xfId="437" applyNumberFormat="1" applyFont="1" applyFill="1" applyBorder="1"/>
    <xf numFmtId="0" fontId="229" fillId="0" borderId="19" xfId="437" applyFont="1" applyFill="1" applyBorder="1"/>
    <xf numFmtId="0" fontId="234" fillId="0" borderId="0" xfId="437" applyFont="1" applyFill="1" applyBorder="1" applyAlignment="1">
      <alignment horizontal="center"/>
    </xf>
    <xf numFmtId="0" fontId="234" fillId="0" borderId="17" xfId="437" applyFont="1" applyFill="1" applyBorder="1" applyAlignment="1">
      <alignment horizontal="center"/>
    </xf>
    <xf numFmtId="0" fontId="235" fillId="0" borderId="20" xfId="437" applyFont="1" applyFill="1" applyBorder="1" applyAlignment="1">
      <alignment horizontal="left"/>
    </xf>
    <xf numFmtId="0" fontId="201" fillId="0" borderId="0" xfId="437" applyFont="1" applyFill="1" applyBorder="1" applyAlignment="1">
      <alignment horizontal="center"/>
    </xf>
    <xf numFmtId="0" fontId="201" fillId="0" borderId="15" xfId="437" applyFont="1" applyFill="1" applyBorder="1"/>
    <xf numFmtId="14" fontId="201" fillId="0" borderId="17" xfId="437" applyNumberFormat="1" applyFill="1" applyBorder="1"/>
    <xf numFmtId="14" fontId="201" fillId="0" borderId="0" xfId="437" applyNumberFormat="1" applyFont="1" applyFill="1" applyBorder="1"/>
    <xf numFmtId="0" fontId="201" fillId="0" borderId="17" xfId="437" applyFill="1" applyBorder="1" applyAlignment="1">
      <alignment horizontal="center"/>
    </xf>
    <xf numFmtId="0" fontId="236" fillId="0" borderId="35" xfId="437" applyFont="1" applyFill="1" applyBorder="1"/>
    <xf numFmtId="167" fontId="236" fillId="0" borderId="35" xfId="437" applyNumberFormat="1" applyFont="1" applyFill="1" applyBorder="1" applyAlignment="1">
      <alignment horizontal="center"/>
    </xf>
    <xf numFmtId="14" fontId="228" fillId="0" borderId="17" xfId="437" applyNumberFormat="1" applyFont="1" applyFill="1" applyBorder="1"/>
    <xf numFmtId="0" fontId="162" fillId="0" borderId="0" xfId="0" applyFont="1" applyFill="1" applyBorder="1"/>
    <xf numFmtId="0" fontId="229" fillId="0" borderId="0" xfId="437" applyFont="1" applyFill="1"/>
    <xf numFmtId="0" fontId="229" fillId="0" borderId="35" xfId="437" applyFont="1" applyFill="1" applyBorder="1" applyAlignment="1">
      <alignment horizontal="center"/>
    </xf>
    <xf numFmtId="0" fontId="229" fillId="0" borderId="22" xfId="437" applyFont="1" applyFill="1" applyBorder="1"/>
    <xf numFmtId="0" fontId="229" fillId="0" borderId="15" xfId="437" applyFont="1" applyFill="1" applyBorder="1"/>
    <xf numFmtId="0" fontId="229" fillId="0" borderId="16" xfId="437" applyFont="1" applyFill="1" applyBorder="1"/>
    <xf numFmtId="0" fontId="229" fillId="0" borderId="0" xfId="437" quotePrefix="1" applyFont="1" applyFill="1" applyBorder="1"/>
    <xf numFmtId="0" fontId="229" fillId="0" borderId="0" xfId="437" applyFont="1" applyFill="1" applyBorder="1" applyAlignment="1"/>
    <xf numFmtId="0" fontId="229" fillId="0" borderId="17" xfId="437" applyFont="1" applyFill="1" applyBorder="1" applyAlignment="1"/>
    <xf numFmtId="0" fontId="228" fillId="0" borderId="18" xfId="437" applyFont="1" applyFill="1" applyBorder="1" applyAlignment="1"/>
    <xf numFmtId="0" fontId="229" fillId="0" borderId="17" xfId="437" quotePrefix="1" applyFont="1" applyFill="1" applyBorder="1"/>
    <xf numFmtId="0" fontId="237" fillId="0" borderId="20" xfId="437" applyFont="1" applyFill="1" applyBorder="1"/>
    <xf numFmtId="167" fontId="232" fillId="0" borderId="21" xfId="437" applyNumberFormat="1" applyFont="1" applyFill="1" applyBorder="1" applyAlignment="1">
      <alignment horizontal="center"/>
    </xf>
    <xf numFmtId="0" fontId="238" fillId="0" borderId="21" xfId="437" applyFont="1" applyFill="1" applyBorder="1"/>
    <xf numFmtId="0" fontId="50" fillId="0" borderId="0" xfId="0" quotePrefix="1" applyFont="1" applyFill="1" applyBorder="1" applyAlignment="1">
      <alignment horizontal="left"/>
    </xf>
    <xf numFmtId="0" fontId="50" fillId="0" borderId="0" xfId="0" quotePrefix="1" applyFont="1" applyFill="1" applyBorder="1" applyAlignment="1">
      <alignment horizontal="center"/>
    </xf>
    <xf numFmtId="178" fontId="201" fillId="0" borderId="0" xfId="437" applyNumberFormat="1" applyFill="1" applyBorder="1" applyAlignment="1">
      <alignment horizontal="center"/>
    </xf>
    <xf numFmtId="0" fontId="240" fillId="0" borderId="21" xfId="437" applyFont="1" applyFill="1" applyBorder="1" applyAlignment="1">
      <alignment horizontal="left"/>
    </xf>
    <xf numFmtId="170" fontId="201" fillId="0" borderId="17" xfId="437" applyNumberFormat="1" applyFill="1" applyBorder="1" applyAlignment="1">
      <alignment horizontal="center"/>
    </xf>
    <xf numFmtId="0" fontId="201" fillId="0" borderId="22" xfId="437" applyFont="1" applyFill="1" applyBorder="1" applyAlignment="1">
      <alignment horizontal="center"/>
    </xf>
    <xf numFmtId="0" fontId="201" fillId="0" borderId="22" xfId="437" applyFont="1" applyFill="1" applyBorder="1" applyAlignment="1">
      <alignment horizontal="left"/>
    </xf>
    <xf numFmtId="0" fontId="201" fillId="0" borderId="15" xfId="437" applyFont="1" applyFill="1" applyBorder="1" applyAlignment="1">
      <alignment horizontal="center"/>
    </xf>
    <xf numFmtId="0" fontId="241" fillId="0" borderId="0" xfId="437" applyFont="1" applyFill="1" applyBorder="1"/>
    <xf numFmtId="0" fontId="241" fillId="0" borderId="0" xfId="437" applyFont="1" applyFill="1"/>
    <xf numFmtId="14" fontId="236" fillId="0" borderId="0" xfId="0" applyNumberFormat="1" applyFont="1" applyFill="1" applyBorder="1" applyAlignment="1">
      <alignment horizontal="center"/>
    </xf>
    <xf numFmtId="167" fontId="8" fillId="0" borderId="0" xfId="0" applyNumberFormat="1" applyFont="1" applyFill="1" applyBorder="1" applyAlignment="1">
      <alignment horizontal="center"/>
    </xf>
    <xf numFmtId="14" fontId="8" fillId="0" borderId="0" xfId="0" applyNumberFormat="1" applyFont="1" applyFill="1" applyBorder="1" applyAlignment="1">
      <alignment horizontal="center"/>
    </xf>
    <xf numFmtId="167" fontId="228" fillId="0" borderId="0" xfId="437" applyNumberFormat="1" applyFont="1" applyFill="1" applyBorder="1"/>
    <xf numFmtId="167" fontId="229" fillId="0" borderId="0" xfId="437" applyNumberFormat="1" applyFont="1" applyFill="1" applyBorder="1"/>
    <xf numFmtId="0" fontId="229" fillId="0" borderId="0" xfId="0" applyFont="1" applyFill="1" applyBorder="1"/>
    <xf numFmtId="2" fontId="46" fillId="0" borderId="0" xfId="0" applyNumberFormat="1" applyFont="1" applyFill="1" applyBorder="1" applyAlignment="1">
      <alignment horizontal="center"/>
    </xf>
    <xf numFmtId="0" fontId="46" fillId="0" borderId="0" xfId="0" quotePrefix="1" applyFont="1" applyFill="1" applyBorder="1"/>
    <xf numFmtId="0" fontId="46" fillId="0" borderId="0" xfId="0" applyFont="1" applyFill="1" applyBorder="1" applyAlignment="1">
      <alignment horizontal="center"/>
    </xf>
    <xf numFmtId="0" fontId="121" fillId="0" borderId="0" xfId="0" applyNumberFormat="1" applyFont="1" applyFill="1" applyBorder="1" applyAlignment="1">
      <alignment horizontal="center"/>
    </xf>
    <xf numFmtId="0" fontId="44" fillId="0" borderId="15" xfId="437" applyFont="1" applyFill="1" applyBorder="1"/>
    <xf numFmtId="0" fontId="227" fillId="0" borderId="0" xfId="437" applyFont="1" applyFill="1" applyBorder="1"/>
    <xf numFmtId="0" fontId="227" fillId="0" borderId="20" xfId="437" applyFont="1" applyFill="1" applyBorder="1"/>
    <xf numFmtId="0" fontId="201" fillId="0" borderId="18" xfId="437" applyFill="1" applyBorder="1"/>
    <xf numFmtId="0" fontId="201" fillId="0" borderId="19" xfId="437" applyFill="1" applyBorder="1"/>
    <xf numFmtId="0" fontId="50" fillId="0" borderId="22" xfId="0" quotePrefix="1" applyFont="1" applyFill="1" applyBorder="1" applyAlignment="1">
      <alignment horizontal="left"/>
    </xf>
    <xf numFmtId="14" fontId="50" fillId="0" borderId="0" xfId="0" applyNumberFormat="1" applyFont="1" applyFill="1" applyBorder="1" applyAlignment="1">
      <alignment horizontal="left"/>
    </xf>
    <xf numFmtId="0" fontId="0" fillId="0" borderId="20" xfId="0" applyFill="1" applyBorder="1" applyAlignment="1">
      <alignment horizontal="center"/>
    </xf>
    <xf numFmtId="0" fontId="50" fillId="0" borderId="15" xfId="435" quotePrefix="1" applyFont="1" applyFill="1" applyBorder="1"/>
    <xf numFmtId="14" fontId="225" fillId="0" borderId="0" xfId="0" applyNumberFormat="1" applyFont="1" applyFill="1" applyBorder="1"/>
    <xf numFmtId="0" fontId="46" fillId="0" borderId="15" xfId="435" applyFont="1" applyFill="1" applyBorder="1"/>
    <xf numFmtId="0" fontId="50" fillId="0" borderId="21" xfId="0" quotePrefix="1" applyFont="1" applyFill="1" applyBorder="1"/>
    <xf numFmtId="0" fontId="46" fillId="0" borderId="0" xfId="435" applyFont="1" applyFill="1" applyBorder="1"/>
    <xf numFmtId="0" fontId="46" fillId="0" borderId="21" xfId="435" applyFont="1" applyFill="1" applyBorder="1" applyAlignment="1">
      <alignment horizontal="center"/>
    </xf>
    <xf numFmtId="14" fontId="50" fillId="0" borderId="0" xfId="435" applyNumberFormat="1" applyFont="1" applyFill="1" applyBorder="1" applyAlignment="1">
      <alignment horizontal="center"/>
    </xf>
    <xf numFmtId="0" fontId="225" fillId="0" borderId="18" xfId="0" applyFont="1" applyFill="1" applyBorder="1"/>
    <xf numFmtId="22" fontId="50" fillId="0" borderId="21" xfId="442" quotePrefix="1" applyNumberFormat="1" applyFont="1" applyFill="1" applyBorder="1"/>
    <xf numFmtId="3" fontId="46" fillId="0" borderId="18" xfId="442" applyNumberFormat="1" applyFont="1" applyFill="1" applyBorder="1" applyAlignment="1">
      <alignment horizontal="center"/>
    </xf>
    <xf numFmtId="167" fontId="46" fillId="0" borderId="0" xfId="0" applyNumberFormat="1" applyFont="1" applyFill="1" applyBorder="1" applyAlignment="1">
      <alignment horizontal="center"/>
    </xf>
    <xf numFmtId="4" fontId="129" fillId="0" borderId="17" xfId="0" applyNumberFormat="1" applyFont="1" applyFill="1" applyBorder="1" applyAlignment="1">
      <alignment horizontal="center"/>
    </xf>
    <xf numFmtId="4" fontId="129" fillId="0" borderId="19" xfId="0" applyNumberFormat="1" applyFont="1" applyFill="1" applyBorder="1" applyAlignment="1">
      <alignment horizontal="center"/>
    </xf>
    <xf numFmtId="0" fontId="129" fillId="0" borderId="16" xfId="0" applyFont="1" applyFill="1" applyBorder="1" applyAlignment="1">
      <alignment horizontal="center"/>
    </xf>
    <xf numFmtId="0" fontId="50" fillId="0" borderId="0" xfId="0" quotePrefix="1" applyFont="1" applyFill="1" applyBorder="1"/>
    <xf numFmtId="0" fontId="201" fillId="0" borderId="18" xfId="437" applyFill="1" applyBorder="1" applyAlignment="1">
      <alignment horizontal="center"/>
    </xf>
    <xf numFmtId="0" fontId="242" fillId="0" borderId="0" xfId="437" applyFont="1" applyFill="1" applyBorder="1" applyAlignment="1">
      <alignment horizontal="center"/>
    </xf>
    <xf numFmtId="0" fontId="224" fillId="0" borderId="0" xfId="437" applyFont="1" applyFill="1" applyBorder="1" applyAlignment="1">
      <alignment horizontal="center"/>
    </xf>
    <xf numFmtId="0" fontId="229" fillId="0" borderId="17" xfId="437" applyFont="1" applyFill="1" applyBorder="1" applyAlignment="1">
      <alignment horizontal="left"/>
    </xf>
    <xf numFmtId="14" fontId="229" fillId="0" borderId="17" xfId="437" applyNumberFormat="1" applyFont="1" applyFill="1" applyBorder="1" applyAlignment="1">
      <alignment horizontal="left"/>
    </xf>
    <xf numFmtId="0" fontId="201" fillId="0" borderId="0" xfId="437" quotePrefix="1" applyFill="1" applyBorder="1"/>
    <xf numFmtId="0" fontId="201" fillId="0" borderId="19" xfId="437" applyFill="1" applyBorder="1" applyAlignment="1">
      <alignment horizontal="center"/>
    </xf>
    <xf numFmtId="0" fontId="242" fillId="0" borderId="40" xfId="437" applyFont="1" applyFill="1" applyBorder="1" applyAlignment="1">
      <alignment horizontal="center"/>
    </xf>
    <xf numFmtId="14" fontId="228" fillId="0" borderId="21" xfId="437" applyNumberFormat="1" applyFont="1" applyFill="1" applyBorder="1" applyAlignment="1">
      <alignment horizontal="center"/>
    </xf>
    <xf numFmtId="14" fontId="232" fillId="0" borderId="0" xfId="437" applyNumberFormat="1" applyFont="1" applyFill="1" applyBorder="1" applyAlignment="1">
      <alignment horizontal="center"/>
    </xf>
    <xf numFmtId="14" fontId="229" fillId="0" borderId="0" xfId="437" applyNumberFormat="1" applyFont="1" applyFill="1" applyBorder="1"/>
    <xf numFmtId="14" fontId="201" fillId="0" borderId="21" xfId="437" applyNumberFormat="1" applyFill="1" applyBorder="1"/>
    <xf numFmtId="14" fontId="201" fillId="0" borderId="22" xfId="437" applyNumberFormat="1" applyFont="1" applyFill="1" applyBorder="1"/>
    <xf numFmtId="14" fontId="201" fillId="0" borderId="15" xfId="437" applyNumberFormat="1" applyFont="1" applyFill="1" applyBorder="1"/>
    <xf numFmtId="14" fontId="229" fillId="0" borderId="21" xfId="437" applyNumberFormat="1" applyFont="1" applyFill="1" applyBorder="1"/>
    <xf numFmtId="0" fontId="228" fillId="0" borderId="21" xfId="437" applyFont="1" applyFill="1" applyBorder="1" applyAlignment="1">
      <alignment horizontal="left"/>
    </xf>
    <xf numFmtId="0" fontId="91" fillId="0" borderId="18" xfId="0" applyFont="1" applyFill="1" applyBorder="1"/>
    <xf numFmtId="167" fontId="99" fillId="0" borderId="20" xfId="0" applyNumberFormat="1" applyFont="1" applyFill="1" applyBorder="1" applyAlignment="1"/>
    <xf numFmtId="1" fontId="99" fillId="0" borderId="19" xfId="0" applyNumberFormat="1" applyFont="1" applyFill="1" applyBorder="1" applyAlignment="1"/>
    <xf numFmtId="0" fontId="46" fillId="0" borderId="0" xfId="472" applyFont="1" applyFill="1" applyBorder="1" applyAlignment="1">
      <alignment horizontal="center"/>
    </xf>
    <xf numFmtId="0" fontId="106" fillId="0" borderId="16" xfId="0" quotePrefix="1" applyFont="1" applyFill="1" applyBorder="1"/>
    <xf numFmtId="0" fontId="0" fillId="0" borderId="21" xfId="0" applyFill="1" applyBorder="1"/>
    <xf numFmtId="0" fontId="46" fillId="0" borderId="21" xfId="527" applyFont="1" applyFill="1" applyBorder="1" applyAlignment="1" applyProtection="1">
      <protection hidden="1"/>
    </xf>
    <xf numFmtId="167" fontId="46" fillId="0" borderId="0" xfId="427" applyNumberFormat="1" applyFont="1" applyFill="1" applyBorder="1" applyAlignment="1">
      <alignment horizontal="left"/>
    </xf>
    <xf numFmtId="170" fontId="46" fillId="0" borderId="21" xfId="0" applyNumberFormat="1" applyFont="1" applyFill="1" applyBorder="1" applyAlignment="1">
      <alignment horizontal="left"/>
    </xf>
    <xf numFmtId="0" fontId="0" fillId="0" borderId="21" xfId="0" applyFont="1" applyFill="1" applyBorder="1" applyAlignment="1"/>
    <xf numFmtId="0" fontId="50" fillId="0" borderId="21" xfId="427" quotePrefix="1" applyFont="1" applyFill="1" applyBorder="1"/>
    <xf numFmtId="0" fontId="35" fillId="0" borderId="0" xfId="427" quotePrefix="1" applyFont="1" applyFill="1" applyBorder="1" applyAlignment="1">
      <alignment horizontal="left" vertical="top"/>
    </xf>
    <xf numFmtId="14" fontId="50" fillId="0" borderId="21" xfId="442" quotePrefix="1" applyNumberFormat="1" applyFont="1" applyFill="1" applyBorder="1" applyAlignment="1">
      <alignment horizontal="left"/>
    </xf>
    <xf numFmtId="0" fontId="243" fillId="0" borderId="0" xfId="0" applyFont="1" applyFill="1" applyBorder="1"/>
    <xf numFmtId="0" fontId="244" fillId="0" borderId="0" xfId="0" applyFont="1" applyFill="1" applyBorder="1" applyAlignment="1">
      <alignment horizontal="center"/>
    </xf>
    <xf numFmtId="0" fontId="0" fillId="0" borderId="0" xfId="0" applyFill="1"/>
    <xf numFmtId="0" fontId="0" fillId="0" borderId="0" xfId="0" applyFill="1" applyBorder="1"/>
    <xf numFmtId="0" fontId="0" fillId="0" borderId="0" xfId="0" applyFill="1" applyBorder="1" applyAlignment="1">
      <alignment horizontal="left"/>
    </xf>
    <xf numFmtId="167" fontId="0" fillId="0" borderId="0" xfId="0" applyNumberFormat="1" applyFill="1" applyBorder="1" applyAlignment="1">
      <alignment horizontal="left"/>
    </xf>
    <xf numFmtId="167" fontId="99" fillId="0" borderId="0" xfId="427" applyNumberFormat="1" applyFont="1" applyFill="1" applyBorder="1" applyAlignment="1">
      <alignment horizontal="left"/>
    </xf>
    <xf numFmtId="2" fontId="50" fillId="0" borderId="0" xfId="0" applyNumberFormat="1" applyFont="1" applyFill="1" applyBorder="1"/>
    <xf numFmtId="168" fontId="121" fillId="0" borderId="0" xfId="435" applyNumberFormat="1" applyFont="1" applyFill="1" applyBorder="1" applyAlignment="1">
      <alignment horizontal="center"/>
    </xf>
    <xf numFmtId="170" fontId="46" fillId="0" borderId="0" xfId="427" applyNumberFormat="1" applyFont="1" applyFill="1" applyBorder="1" applyAlignment="1">
      <alignment horizontal="left"/>
    </xf>
    <xf numFmtId="0" fontId="245" fillId="0" borderId="0" xfId="0" applyFont="1" applyFill="1" applyBorder="1" applyAlignment="1">
      <alignment horizontal="left"/>
    </xf>
    <xf numFmtId="0" fontId="122" fillId="0" borderId="0" xfId="0" quotePrefix="1" applyFont="1" applyFill="1" applyBorder="1" applyAlignment="1">
      <alignment horizontal="left"/>
    </xf>
    <xf numFmtId="167" fontId="50" fillId="0" borderId="0" xfId="0" applyNumberFormat="1" applyFont="1" applyFill="1" applyBorder="1" applyAlignment="1">
      <alignment horizontal="center"/>
    </xf>
    <xf numFmtId="0" fontId="99" fillId="0" borderId="15" xfId="427" applyNumberFormat="1" applyFont="1" applyFill="1" applyBorder="1" applyAlignment="1">
      <alignment horizontal="center" wrapText="1"/>
    </xf>
    <xf numFmtId="0" fontId="0" fillId="0" borderId="15" xfId="0" applyNumberFormat="1" applyFill="1" applyBorder="1" applyAlignment="1">
      <alignment horizontal="center" vertical="center" wrapText="1"/>
    </xf>
    <xf numFmtId="0" fontId="99" fillId="0" borderId="15" xfId="427" applyNumberFormat="1" applyFont="1" applyFill="1" applyBorder="1" applyAlignment="1">
      <alignment horizontal="center" vertical="center" wrapText="1"/>
    </xf>
    <xf numFmtId="0" fontId="0" fillId="0" borderId="15" xfId="0" applyNumberFormat="1" applyFill="1" applyBorder="1" applyAlignment="1">
      <alignment wrapText="1"/>
    </xf>
    <xf numFmtId="172" fontId="0" fillId="0" borderId="0" xfId="0" applyNumberFormat="1" applyFill="1" applyBorder="1"/>
    <xf numFmtId="0" fontId="0" fillId="0" borderId="0" xfId="0" applyFill="1" applyBorder="1" applyAlignment="1">
      <alignment horizontal="center" wrapText="1"/>
    </xf>
    <xf numFmtId="0" fontId="0" fillId="0" borderId="0" xfId="0" applyFill="1" applyAlignment="1">
      <alignment wrapText="1"/>
    </xf>
    <xf numFmtId="0" fontId="0" fillId="0" borderId="0" xfId="0" applyFill="1" applyAlignment="1">
      <alignment horizontal="left" wrapText="1"/>
    </xf>
    <xf numFmtId="0" fontId="246" fillId="0" borderId="21" xfId="0" applyFont="1" applyFill="1" applyBorder="1"/>
    <xf numFmtId="0" fontId="246" fillId="0" borderId="0" xfId="0" applyFont="1" applyFill="1" applyBorder="1"/>
    <xf numFmtId="0" fontId="239" fillId="0" borderId="0" xfId="0" applyFont="1" applyFill="1" applyBorder="1" applyAlignment="1"/>
    <xf numFmtId="2" fontId="0" fillId="0" borderId="0" xfId="0" applyNumberFormat="1" applyFill="1" applyBorder="1" applyAlignment="1">
      <alignment horizontal="right"/>
    </xf>
    <xf numFmtId="170" fontId="50" fillId="0" borderId="21" xfId="0" applyNumberFormat="1" applyFont="1" applyFill="1" applyBorder="1" applyAlignment="1">
      <alignment horizontal="left"/>
    </xf>
    <xf numFmtId="0" fontId="47" fillId="0" borderId="22" xfId="435" applyFont="1" applyFill="1" applyBorder="1"/>
    <xf numFmtId="0" fontId="47" fillId="0" borderId="21" xfId="435" applyFont="1" applyFill="1" applyBorder="1" applyAlignment="1"/>
    <xf numFmtId="170" fontId="247" fillId="0" borderId="0" xfId="0" applyNumberFormat="1" applyFont="1" applyFill="1" applyBorder="1" applyAlignment="1">
      <alignment horizontal="center"/>
    </xf>
    <xf numFmtId="14" fontId="47" fillId="0" borderId="0" xfId="442" applyNumberFormat="1" applyFont="1" applyFill="1" applyBorder="1"/>
    <xf numFmtId="2" fontId="47" fillId="0" borderId="0" xfId="442" applyNumberFormat="1" applyFont="1" applyFill="1" applyBorder="1"/>
    <xf numFmtId="2" fontId="94" fillId="0" borderId="0" xfId="442" applyNumberFormat="1" applyFont="1" applyFill="1" applyBorder="1" applyAlignment="1">
      <alignment horizontal="right"/>
    </xf>
    <xf numFmtId="2" fontId="94" fillId="0" borderId="17" xfId="442" applyNumberFormat="1" applyFont="1" applyFill="1" applyBorder="1" applyAlignment="1">
      <alignment horizontal="right"/>
    </xf>
    <xf numFmtId="0" fontId="46" fillId="0" borderId="21" xfId="0" applyFont="1" applyFill="1" applyBorder="1" applyAlignment="1">
      <alignment horizontal="center"/>
    </xf>
    <xf numFmtId="4" fontId="121" fillId="0" borderId="15" xfId="435" applyNumberFormat="1" applyFont="1" applyFill="1" applyBorder="1" applyAlignment="1">
      <alignment horizontal="left"/>
    </xf>
    <xf numFmtId="0" fontId="239" fillId="0" borderId="0" xfId="0" applyFont="1" applyFill="1" applyBorder="1" applyAlignment="1">
      <alignment horizontal="center"/>
    </xf>
    <xf numFmtId="182" fontId="46" fillId="0" borderId="0" xfId="0" applyNumberFormat="1" applyFont="1" applyFill="1" applyBorder="1" applyAlignment="1">
      <alignment horizontal="center"/>
    </xf>
    <xf numFmtId="2" fontId="46" fillId="0" borderId="18" xfId="442" applyNumberFormat="1" applyFont="1" applyFill="1" applyBorder="1" applyAlignment="1"/>
    <xf numFmtId="0" fontId="202" fillId="0" borderId="21" xfId="0" applyFont="1" applyFill="1" applyBorder="1"/>
    <xf numFmtId="0" fontId="202" fillId="0" borderId="0" xfId="0" applyFont="1" applyFill="1" applyBorder="1"/>
    <xf numFmtId="14" fontId="0" fillId="0" borderId="18" xfId="0" applyNumberFormat="1" applyFont="1" applyFill="1" applyBorder="1"/>
    <xf numFmtId="0" fontId="0" fillId="0" borderId="20" xfId="0" applyFont="1" applyFill="1" applyBorder="1"/>
    <xf numFmtId="0" fontId="94" fillId="0" borderId="0" xfId="427" applyFont="1" applyFill="1" applyBorder="1"/>
    <xf numFmtId="0" fontId="94" fillId="0" borderId="17" xfId="427" applyFont="1" applyFill="1" applyBorder="1"/>
    <xf numFmtId="0" fontId="46" fillId="0" borderId="0" xfId="427" quotePrefix="1" applyFont="1" applyFill="1" applyBorder="1" applyAlignment="1">
      <alignment horizontal="center"/>
    </xf>
    <xf numFmtId="0" fontId="44" fillId="0" borderId="0" xfId="427" applyFont="1" applyFill="1" applyBorder="1"/>
    <xf numFmtId="2" fontId="94" fillId="0" borderId="19" xfId="442" applyNumberFormat="1" applyFont="1" applyFill="1" applyBorder="1" applyAlignment="1">
      <alignment horizontal="right"/>
    </xf>
    <xf numFmtId="0" fontId="94" fillId="0" borderId="0" xfId="427" applyFont="1" applyFill="1"/>
    <xf numFmtId="0" fontId="201" fillId="0" borderId="21" xfId="437" applyFill="1" applyBorder="1"/>
    <xf numFmtId="0" fontId="0" fillId="0" borderId="21" xfId="0" applyFont="1" applyFill="1" applyBorder="1" applyAlignment="1">
      <alignment horizontal="center"/>
    </xf>
    <xf numFmtId="0" fontId="201" fillId="0" borderId="21" xfId="437" applyFont="1" applyFill="1" applyBorder="1" applyAlignment="1">
      <alignment horizontal="center"/>
    </xf>
    <xf numFmtId="0" fontId="201" fillId="0" borderId="0" xfId="437" applyFill="1" applyBorder="1" applyAlignment="1"/>
    <xf numFmtId="0" fontId="201" fillId="0" borderId="21" xfId="437" applyFill="1" applyBorder="1" applyAlignment="1">
      <alignment horizontal="left"/>
    </xf>
    <xf numFmtId="0" fontId="201" fillId="0" borderId="21" xfId="437" applyFill="1" applyBorder="1" applyAlignment="1">
      <alignment horizontal="center"/>
    </xf>
    <xf numFmtId="0" fontId="242" fillId="0" borderId="34" xfId="437" applyFont="1" applyFill="1" applyBorder="1" applyAlignment="1">
      <alignment horizontal="center"/>
    </xf>
    <xf numFmtId="0" fontId="224" fillId="0" borderId="34" xfId="437" applyFont="1" applyFill="1" applyBorder="1" applyAlignment="1">
      <alignment horizontal="center"/>
    </xf>
    <xf numFmtId="0" fontId="201" fillId="0" borderId="22" xfId="437" applyFill="1" applyBorder="1" applyAlignment="1"/>
    <xf numFmtId="2" fontId="0" fillId="0" borderId="16" xfId="0" applyNumberFormat="1" applyFill="1" applyBorder="1" applyAlignment="1">
      <alignment horizontal="center"/>
    </xf>
    <xf numFmtId="170" fontId="248" fillId="0" borderId="21" xfId="0" applyNumberFormat="1" applyFont="1" applyFill="1" applyBorder="1" applyAlignment="1">
      <alignment horizontal="left"/>
    </xf>
    <xf numFmtId="0" fontId="46" fillId="0" borderId="0" xfId="435" quotePrefix="1" applyFont="1" applyFill="1" applyBorder="1"/>
    <xf numFmtId="0" fontId="78" fillId="0" borderId="0" xfId="0" applyFont="1" applyFill="1" applyBorder="1"/>
    <xf numFmtId="2" fontId="249" fillId="0" borderId="0" xfId="0" applyNumberFormat="1" applyFont="1" applyFill="1" applyBorder="1" applyAlignment="1">
      <alignment horizontal="left"/>
    </xf>
    <xf numFmtId="0" fontId="249" fillId="0" borderId="0" xfId="0" quotePrefix="1" applyFont="1" applyFill="1" applyBorder="1" applyAlignment="1">
      <alignment horizontal="center" vertical="top"/>
    </xf>
    <xf numFmtId="0" fontId="248" fillId="0" borderId="0" xfId="0" applyFont="1" applyFill="1" applyBorder="1" applyAlignment="1"/>
    <xf numFmtId="0" fontId="8" fillId="0" borderId="0" xfId="435" applyFont="1" applyFill="1" applyBorder="1" applyAlignment="1">
      <alignment horizontal="center"/>
    </xf>
    <xf numFmtId="0" fontId="224" fillId="0" borderId="22" xfId="0" applyFont="1" applyFill="1" applyBorder="1"/>
    <xf numFmtId="0" fontId="224" fillId="0" borderId="0" xfId="0" applyFont="1" applyFill="1" applyBorder="1" applyAlignment="1"/>
    <xf numFmtId="0" fontId="44" fillId="0" borderId="20" xfId="428" applyFont="1" applyFill="1" applyBorder="1"/>
    <xf numFmtId="176" fontId="46" fillId="0" borderId="0" xfId="442" applyNumberFormat="1" applyFont="1" applyFill="1" applyBorder="1" applyAlignment="1">
      <alignment horizontal="center"/>
    </xf>
    <xf numFmtId="169" fontId="46" fillId="0" borderId="0" xfId="442" applyNumberFormat="1" applyFont="1" applyFill="1" applyBorder="1" applyAlignment="1">
      <alignment horizontal="center"/>
    </xf>
    <xf numFmtId="3" fontId="99" fillId="0" borderId="17" xfId="442" applyNumberFormat="1" applyFont="1" applyFill="1" applyBorder="1" applyAlignment="1">
      <alignment horizontal="center"/>
    </xf>
    <xf numFmtId="3" fontId="99" fillId="0" borderId="0" xfId="442" applyNumberFormat="1" applyFont="1" applyFill="1" applyBorder="1" applyAlignment="1">
      <alignment horizontal="center"/>
    </xf>
    <xf numFmtId="168" fontId="46" fillId="0" borderId="0" xfId="472" applyNumberFormat="1" applyFont="1" applyFill="1" applyBorder="1" applyAlignment="1">
      <alignment horizontal="center"/>
    </xf>
    <xf numFmtId="0" fontId="94" fillId="0" borderId="0" xfId="427" applyFont="1" applyFill="1" applyBorder="1" applyAlignment="1"/>
    <xf numFmtId="0" fontId="106" fillId="0" borderId="18" xfId="427" applyFont="1" applyFill="1" applyBorder="1"/>
    <xf numFmtId="0" fontId="200" fillId="0" borderId="22" xfId="437" applyFont="1" applyFill="1" applyBorder="1"/>
    <xf numFmtId="0" fontId="200" fillId="0" borderId="0" xfId="437" applyFont="1" applyFill="1" applyBorder="1"/>
    <xf numFmtId="0" fontId="250" fillId="0" borderId="21" xfId="437" quotePrefix="1" applyFont="1" applyFill="1" applyBorder="1" applyAlignment="1">
      <alignment horizontal="left" readingOrder="1"/>
    </xf>
    <xf numFmtId="0" fontId="200" fillId="0" borderId="21" xfId="437" applyFont="1" applyFill="1" applyBorder="1" applyAlignment="1">
      <alignment horizontal="center"/>
    </xf>
    <xf numFmtId="0" fontId="46" fillId="0" borderId="22" xfId="437" applyFont="1" applyFill="1" applyBorder="1"/>
    <xf numFmtId="0" fontId="46" fillId="0" borderId="21" xfId="437" applyFont="1" applyFill="1" applyBorder="1"/>
    <xf numFmtId="0" fontId="238" fillId="0" borderId="17" xfId="437" applyFont="1" applyFill="1" applyBorder="1"/>
    <xf numFmtId="0" fontId="250" fillId="0" borderId="22" xfId="437" applyFont="1" applyFill="1" applyBorder="1" applyAlignment="1">
      <alignment horizontal="left"/>
    </xf>
    <xf numFmtId="0" fontId="250" fillId="0" borderId="22" xfId="437" applyFont="1" applyFill="1" applyBorder="1" applyAlignment="1">
      <alignment horizontal="left" vertical="center"/>
    </xf>
    <xf numFmtId="0" fontId="250" fillId="0" borderId="21" xfId="437" quotePrefix="1" applyFont="1" applyFill="1" applyBorder="1" applyAlignment="1">
      <alignment horizontal="left"/>
    </xf>
    <xf numFmtId="0" fontId="251" fillId="0" borderId="21" xfId="437" applyFont="1" applyFill="1" applyBorder="1"/>
    <xf numFmtId="0" fontId="242" fillId="0" borderId="21" xfId="437" quotePrefix="1" applyFont="1" applyFill="1" applyBorder="1"/>
    <xf numFmtId="14" fontId="242" fillId="0" borderId="21" xfId="437" applyNumberFormat="1" applyFont="1" applyFill="1" applyBorder="1" applyAlignment="1">
      <alignment horizontal="center"/>
    </xf>
    <xf numFmtId="14" fontId="250" fillId="0" borderId="21" xfId="437" applyNumberFormat="1" applyFont="1" applyFill="1" applyBorder="1" applyAlignment="1">
      <alignment horizontal="center"/>
    </xf>
    <xf numFmtId="14" fontId="201" fillId="0" borderId="21" xfId="437" applyNumberFormat="1" applyFill="1" applyBorder="1" applyAlignment="1">
      <alignment horizontal="center"/>
    </xf>
    <xf numFmtId="0" fontId="201" fillId="0" borderId="0" xfId="437" applyFill="1" applyAlignment="1">
      <alignment horizontal="center"/>
    </xf>
    <xf numFmtId="167" fontId="224" fillId="0" borderId="0" xfId="437" applyNumberFormat="1" applyFont="1" applyFill="1" applyBorder="1" applyAlignment="1">
      <alignment horizontal="center"/>
    </xf>
    <xf numFmtId="14" fontId="201" fillId="0" borderId="20" xfId="437" applyNumberFormat="1" applyFill="1" applyBorder="1"/>
    <xf numFmtId="167" fontId="201" fillId="0" borderId="18" xfId="437" applyNumberFormat="1" applyFill="1" applyBorder="1"/>
    <xf numFmtId="2" fontId="250" fillId="0" borderId="17" xfId="0" applyNumberFormat="1" applyFont="1" applyFill="1" applyBorder="1" applyAlignment="1">
      <alignment horizontal="center"/>
    </xf>
    <xf numFmtId="14" fontId="0" fillId="0" borderId="0" xfId="0" applyNumberFormat="1" applyFill="1" applyBorder="1" applyAlignment="1">
      <alignment horizontal="center" vertical="center"/>
    </xf>
    <xf numFmtId="0" fontId="0" fillId="0" borderId="0" xfId="0" applyFill="1" applyBorder="1" applyAlignment="1">
      <alignment horizontal="center" vertical="center"/>
    </xf>
    <xf numFmtId="167" fontId="224" fillId="0" borderId="0" xfId="0" applyNumberFormat="1" applyFont="1" applyFill="1" applyBorder="1" applyAlignment="1">
      <alignment horizontal="center"/>
    </xf>
    <xf numFmtId="0" fontId="250" fillId="0" borderId="0" xfId="0" applyFont="1" applyFill="1" applyBorder="1" applyAlignment="1">
      <alignment horizontal="center"/>
    </xf>
    <xf numFmtId="2" fontId="250" fillId="0" borderId="19" xfId="0" applyNumberFormat="1" applyFont="1" applyFill="1" applyBorder="1" applyAlignment="1">
      <alignment horizontal="center"/>
    </xf>
    <xf numFmtId="167" fontId="201" fillId="0" borderId="34" xfId="437" applyNumberFormat="1" applyFill="1" applyBorder="1" applyAlignment="1">
      <alignment horizontal="center"/>
    </xf>
    <xf numFmtId="167" fontId="201" fillId="0" borderId="39" xfId="437" applyNumberFormat="1" applyFill="1" applyBorder="1" applyAlignment="1">
      <alignment horizontal="center"/>
    </xf>
    <xf numFmtId="0" fontId="252" fillId="0" borderId="20" xfId="437" applyFont="1" applyFill="1" applyBorder="1" applyAlignment="1">
      <alignment horizontal="left"/>
    </xf>
    <xf numFmtId="0" fontId="252" fillId="0" borderId="20" xfId="437" applyFont="1" applyFill="1" applyBorder="1" applyAlignment="1">
      <alignment horizontal="center"/>
    </xf>
    <xf numFmtId="0" fontId="44" fillId="0" borderId="0" xfId="427" quotePrefix="1" applyFont="1" applyFill="1" applyBorder="1" applyAlignment="1">
      <alignment horizontal="center"/>
    </xf>
    <xf numFmtId="0" fontId="77" fillId="0" borderId="0" xfId="427" quotePrefix="1" applyFont="1" applyFill="1" applyBorder="1" applyAlignment="1">
      <alignment horizontal="center"/>
    </xf>
    <xf numFmtId="167" fontId="245" fillId="0" borderId="0" xfId="0" applyNumberFormat="1" applyFont="1" applyFill="1" applyBorder="1"/>
    <xf numFmtId="0" fontId="245" fillId="0" borderId="15" xfId="0" applyFont="1" applyFill="1" applyBorder="1" applyAlignment="1"/>
    <xf numFmtId="167" fontId="245" fillId="0" borderId="21" xfId="0" applyNumberFormat="1" applyFont="1" applyFill="1" applyBorder="1"/>
    <xf numFmtId="2" fontId="0" fillId="0" borderId="21" xfId="0" applyNumberFormat="1" applyFont="1" applyFill="1" applyBorder="1" applyAlignment="1"/>
    <xf numFmtId="14" fontId="0" fillId="0" borderId="21" xfId="0" applyNumberFormat="1" applyFont="1" applyFill="1" applyBorder="1" applyAlignment="1"/>
    <xf numFmtId="14" fontId="229" fillId="0" borderId="21" xfId="0" applyNumberFormat="1" applyFont="1" applyFill="1" applyBorder="1" applyAlignment="1"/>
    <xf numFmtId="167" fontId="0" fillId="0" borderId="17" xfId="0" applyNumberFormat="1" applyFont="1" applyFill="1" applyBorder="1" applyAlignment="1">
      <alignment horizontal="center"/>
    </xf>
    <xf numFmtId="0" fontId="80" fillId="0" borderId="38" xfId="428" applyFont="1" applyFill="1" applyBorder="1"/>
    <xf numFmtId="2" fontId="116" fillId="0" borderId="18" xfId="435" applyNumberFormat="1" applyFont="1" applyFill="1" applyBorder="1"/>
    <xf numFmtId="171" fontId="116" fillId="0" borderId="18" xfId="435" applyNumberFormat="1" applyFont="1" applyFill="1" applyBorder="1"/>
    <xf numFmtId="0" fontId="80" fillId="0" borderId="18" xfId="428" applyFont="1" applyFill="1" applyBorder="1"/>
    <xf numFmtId="0" fontId="116" fillId="0" borderId="18" xfId="435" applyNumberFormat="1" applyFont="1" applyFill="1" applyBorder="1" applyAlignment="1">
      <alignment horizontal="center"/>
    </xf>
    <xf numFmtId="0" fontId="116" fillId="0" borderId="18" xfId="435" applyFont="1" applyFill="1" applyBorder="1"/>
    <xf numFmtId="0" fontId="116" fillId="0" borderId="18" xfId="0" applyFont="1" applyFill="1" applyBorder="1" applyAlignment="1"/>
    <xf numFmtId="4" fontId="116" fillId="0" borderId="18" xfId="0" applyNumberFormat="1" applyFont="1" applyFill="1" applyBorder="1" applyAlignment="1"/>
    <xf numFmtId="2" fontId="116" fillId="0" borderId="18" xfId="0" applyNumberFormat="1" applyFont="1" applyFill="1" applyBorder="1" applyAlignment="1">
      <alignment horizontal="center"/>
    </xf>
    <xf numFmtId="0" fontId="116" fillId="0" borderId="18" xfId="0" applyFont="1" applyFill="1" applyBorder="1" applyAlignment="1">
      <alignment horizontal="center"/>
    </xf>
    <xf numFmtId="14" fontId="116" fillId="0" borderId="19" xfId="0" applyNumberFormat="1" applyFont="1" applyFill="1" applyBorder="1" applyAlignment="1">
      <alignment horizontal="center"/>
    </xf>
    <xf numFmtId="0" fontId="78" fillId="0" borderId="18" xfId="428" applyFont="1" applyFill="1" applyBorder="1"/>
    <xf numFmtId="0" fontId="239" fillId="0" borderId="18" xfId="0" applyFont="1" applyFill="1" applyBorder="1"/>
    <xf numFmtId="0" fontId="239" fillId="0" borderId="19" xfId="0" applyFont="1" applyFill="1" applyBorder="1"/>
    <xf numFmtId="0" fontId="80" fillId="0" borderId="20" xfId="428" applyFont="1" applyFill="1" applyBorder="1"/>
    <xf numFmtId="14" fontId="99" fillId="0" borderId="0" xfId="427" applyNumberFormat="1" applyFont="1" applyFill="1" applyBorder="1" applyAlignment="1">
      <alignment horizontal="center" vertical="top"/>
    </xf>
    <xf numFmtId="0" fontId="121" fillId="0" borderId="0" xfId="442" applyFont="1" applyFill="1" applyBorder="1"/>
    <xf numFmtId="0" fontId="98" fillId="0" borderId="0" xfId="442" applyFont="1" applyFill="1" applyBorder="1"/>
    <xf numFmtId="0" fontId="90" fillId="0" borderId="0" xfId="442" applyFont="1" applyFill="1" applyBorder="1" applyAlignment="1">
      <alignment horizontal="center" vertical="top" wrapText="1"/>
    </xf>
    <xf numFmtId="168" fontId="50" fillId="0" borderId="0" xfId="442" applyNumberFormat="1" applyFont="1" applyFill="1" applyBorder="1" applyAlignment="1">
      <alignment horizontal="center"/>
    </xf>
    <xf numFmtId="171" fontId="253" fillId="0" borderId="0" xfId="0" applyNumberFormat="1" applyFont="1" applyFill="1" applyBorder="1" applyAlignment="1">
      <alignment horizontal="center"/>
    </xf>
    <xf numFmtId="0" fontId="0" fillId="0" borderId="15" xfId="0" quotePrefix="1" applyFill="1" applyBorder="1" applyAlignment="1">
      <alignment horizontal="center"/>
    </xf>
    <xf numFmtId="14" fontId="229" fillId="0" borderId="0" xfId="0" applyNumberFormat="1" applyFont="1" applyFill="1" applyBorder="1" applyAlignment="1">
      <alignment horizontal="center"/>
    </xf>
    <xf numFmtId="0" fontId="229" fillId="0" borderId="0" xfId="0" applyFont="1" applyFill="1" applyBorder="1" applyAlignment="1">
      <alignment horizontal="center"/>
    </xf>
    <xf numFmtId="0" fontId="254" fillId="0" borderId="0" xfId="427" quotePrefix="1" applyFont="1" applyFill="1" applyBorder="1" applyAlignment="1">
      <alignment horizontal="center"/>
    </xf>
    <xf numFmtId="0" fontId="255" fillId="0" borderId="15" xfId="0" applyFont="1" applyFill="1" applyBorder="1" applyAlignment="1">
      <alignment horizontal="center"/>
    </xf>
    <xf numFmtId="14" fontId="255" fillId="0" borderId="0" xfId="0" applyNumberFormat="1" applyFont="1" applyFill="1" applyBorder="1" applyAlignment="1">
      <alignment horizontal="center"/>
    </xf>
    <xf numFmtId="0" fontId="256" fillId="0" borderId="0" xfId="427" quotePrefix="1" applyFont="1" applyFill="1" applyBorder="1" applyAlignment="1">
      <alignment horizontal="center" vertical="top"/>
    </xf>
    <xf numFmtId="0" fontId="93" fillId="0" borderId="0" xfId="427" quotePrefix="1" applyFont="1" applyFill="1" applyBorder="1"/>
    <xf numFmtId="0" fontId="44" fillId="0" borderId="0" xfId="427" quotePrefix="1" applyFont="1" applyFill="1" applyBorder="1"/>
    <xf numFmtId="0" fontId="256" fillId="0" borderId="0" xfId="427" applyFont="1" applyFill="1" applyBorder="1" applyAlignment="1">
      <alignment horizontal="center"/>
    </xf>
    <xf numFmtId="0" fontId="94" fillId="0" borderId="22" xfId="0" applyFont="1" applyFill="1" applyBorder="1"/>
    <xf numFmtId="0" fontId="202" fillId="0" borderId="15" xfId="0" applyFont="1" applyFill="1" applyBorder="1"/>
    <xf numFmtId="2" fontId="130" fillId="0" borderId="15" xfId="435" applyNumberFormat="1" applyFont="1" applyFill="1" applyBorder="1"/>
    <xf numFmtId="0" fontId="94" fillId="0" borderId="15" xfId="435" applyFont="1" applyFill="1" applyBorder="1" applyAlignment="1"/>
    <xf numFmtId="0" fontId="94" fillId="0" borderId="21" xfId="0" applyFont="1" applyFill="1" applyBorder="1"/>
    <xf numFmtId="170" fontId="131" fillId="0" borderId="0" xfId="435" applyNumberFormat="1" applyFont="1" applyFill="1" applyBorder="1" applyAlignment="1">
      <alignment horizontal="left"/>
    </xf>
    <xf numFmtId="0" fontId="94" fillId="0" borderId="0" xfId="435" quotePrefix="1" applyFont="1" applyFill="1" applyBorder="1" applyAlignment="1">
      <alignment horizontal="left"/>
    </xf>
    <xf numFmtId="0" fontId="94" fillId="0" borderId="0" xfId="435" applyFont="1" applyFill="1" applyBorder="1" applyAlignment="1"/>
    <xf numFmtId="14" fontId="94" fillId="0" borderId="0" xfId="435" applyNumberFormat="1" applyFont="1" applyFill="1" applyBorder="1" applyAlignment="1"/>
    <xf numFmtId="0" fontId="50" fillId="0" borderId="0" xfId="435" quotePrefix="1" applyFont="1" applyFill="1" applyBorder="1"/>
    <xf numFmtId="2" fontId="94" fillId="0" borderId="0" xfId="435" applyNumberFormat="1" applyFont="1" applyFill="1" applyBorder="1" applyAlignment="1">
      <alignment horizontal="center"/>
    </xf>
    <xf numFmtId="0" fontId="94" fillId="0" borderId="21" xfId="435" quotePrefix="1" applyFont="1" applyFill="1" applyBorder="1" applyAlignment="1">
      <alignment horizontal="left"/>
    </xf>
    <xf numFmtId="2" fontId="134" fillId="0" borderId="0" xfId="435" applyNumberFormat="1" applyFont="1" applyFill="1" applyBorder="1" applyAlignment="1">
      <alignment horizontal="left"/>
    </xf>
    <xf numFmtId="2" fontId="94" fillId="0" borderId="0" xfId="435" applyNumberFormat="1" applyFont="1" applyFill="1" applyBorder="1" applyAlignment="1">
      <alignment horizontal="left"/>
    </xf>
    <xf numFmtId="1" fontId="94" fillId="0" borderId="0" xfId="435" applyNumberFormat="1" applyFont="1" applyFill="1" applyBorder="1"/>
    <xf numFmtId="2" fontId="94" fillId="0" borderId="0" xfId="435" applyNumberFormat="1" applyFont="1" applyFill="1" applyBorder="1" applyAlignment="1"/>
    <xf numFmtId="2" fontId="94" fillId="0" borderId="0" xfId="435" applyNumberFormat="1" applyFont="1" applyFill="1" applyBorder="1" applyAlignment="1">
      <alignment horizontal="right"/>
    </xf>
    <xf numFmtId="0" fontId="94" fillId="0" borderId="0" xfId="435" applyFont="1" applyFill="1" applyBorder="1" applyAlignment="1">
      <alignment horizontal="center"/>
    </xf>
    <xf numFmtId="170" fontId="94" fillId="0" borderId="0" xfId="435" applyNumberFormat="1" applyFont="1" applyFill="1" applyBorder="1" applyAlignment="1">
      <alignment horizontal="left"/>
    </xf>
    <xf numFmtId="170" fontId="94" fillId="0" borderId="18" xfId="435" applyNumberFormat="1" applyFont="1" applyFill="1" applyBorder="1" applyAlignment="1">
      <alignment horizontal="center"/>
    </xf>
    <xf numFmtId="2" fontId="94" fillId="0" borderId="18" xfId="435" applyNumberFormat="1" applyFont="1" applyFill="1" applyBorder="1" applyAlignment="1">
      <alignment horizontal="center"/>
    </xf>
    <xf numFmtId="2" fontId="130" fillId="0" borderId="18" xfId="435" applyNumberFormat="1" applyFont="1" applyFill="1" applyBorder="1"/>
    <xf numFmtId="0" fontId="94" fillId="0" borderId="18" xfId="435" applyFont="1" applyFill="1" applyBorder="1" applyAlignment="1"/>
    <xf numFmtId="167" fontId="258" fillId="0" borderId="0" xfId="427" applyNumberFormat="1" applyFont="1" applyFill="1" applyBorder="1" applyAlignment="1">
      <alignment horizontal="center"/>
    </xf>
    <xf numFmtId="14" fontId="258" fillId="0" borderId="0" xfId="427" quotePrefix="1" applyNumberFormat="1" applyFont="1" applyFill="1" applyBorder="1"/>
    <xf numFmtId="0" fontId="94" fillId="0" borderId="0" xfId="427" applyFont="1" applyFill="1" applyBorder="1" applyAlignment="1">
      <alignment horizontal="center"/>
    </xf>
    <xf numFmtId="167" fontId="80" fillId="0" borderId="0" xfId="427" applyNumberFormat="1" applyFont="1" applyFill="1" applyBorder="1" applyAlignment="1"/>
    <xf numFmtId="0" fontId="245" fillId="0" borderId="21" xfId="0" applyFont="1" applyFill="1" applyBorder="1" applyAlignment="1">
      <alignment horizontal="center"/>
    </xf>
    <xf numFmtId="167" fontId="245" fillId="0" borderId="0" xfId="0" applyNumberFormat="1" applyFont="1" applyFill="1" applyBorder="1" applyAlignment="1">
      <alignment horizontal="center"/>
    </xf>
    <xf numFmtId="167" fontId="245" fillId="0" borderId="18" xfId="0" applyNumberFormat="1" applyFont="1" applyFill="1" applyBorder="1" applyAlignment="1">
      <alignment horizontal="center"/>
    </xf>
    <xf numFmtId="0" fontId="259" fillId="0" borderId="0" xfId="0" applyFont="1" applyFill="1" applyBorder="1" applyAlignment="1">
      <alignment horizontal="center"/>
    </xf>
    <xf numFmtId="0" fontId="201" fillId="0" borderId="0" xfId="0" applyFont="1" applyFill="1" applyBorder="1" applyAlignment="1">
      <alignment horizontal="center"/>
    </xf>
    <xf numFmtId="167" fontId="245" fillId="0" borderId="0" xfId="0" applyNumberFormat="1" applyFont="1" applyFill="1" applyBorder="1" applyAlignment="1">
      <alignment horizontal="center" vertical="center"/>
    </xf>
    <xf numFmtId="0" fontId="201" fillId="0" borderId="18" xfId="0" applyFont="1" applyFill="1" applyBorder="1" applyAlignment="1">
      <alignment horizontal="center"/>
    </xf>
    <xf numFmtId="0" fontId="260" fillId="0" borderId="17" xfId="0" applyFont="1" applyFill="1" applyBorder="1" applyAlignment="1">
      <alignment horizontal="center"/>
    </xf>
    <xf numFmtId="2" fontId="260" fillId="0" borderId="17" xfId="0" applyNumberFormat="1" applyFont="1" applyFill="1" applyBorder="1" applyAlignment="1">
      <alignment horizontal="center"/>
    </xf>
    <xf numFmtId="0" fontId="99" fillId="0" borderId="17" xfId="427" applyFont="1" applyFill="1" applyBorder="1" applyAlignment="1"/>
    <xf numFmtId="167" fontId="46" fillId="0" borderId="15" xfId="427" applyNumberFormat="1" applyFont="1" applyFill="1" applyBorder="1" applyAlignment="1">
      <alignment horizontal="left"/>
    </xf>
    <xf numFmtId="0" fontId="261" fillId="0" borderId="0" xfId="0" applyFont="1" applyFill="1"/>
    <xf numFmtId="0" fontId="262" fillId="0" borderId="0" xfId="0" applyFont="1" applyFill="1" applyBorder="1" applyAlignment="1">
      <alignment horizontal="center"/>
    </xf>
    <xf numFmtId="0" fontId="46" fillId="0" borderId="0" xfId="427" applyFont="1" applyFill="1" applyBorder="1"/>
    <xf numFmtId="0" fontId="0" fillId="0" borderId="15" xfId="0" applyFill="1" applyBorder="1" applyAlignment="1">
      <alignment horizontal="left" vertical="center"/>
    </xf>
    <xf numFmtId="0" fontId="250" fillId="0" borderId="18" xfId="0" applyFont="1" applyFill="1" applyBorder="1" applyAlignment="1">
      <alignment horizontal="center"/>
    </xf>
    <xf numFmtId="0" fontId="94" fillId="0" borderId="21" xfId="427" applyFont="1" applyFill="1" applyBorder="1"/>
    <xf numFmtId="0" fontId="141" fillId="0" borderId="18" xfId="427" quotePrefix="1" applyFont="1" applyFill="1" applyBorder="1" applyAlignment="1">
      <alignment horizontal="center"/>
    </xf>
    <xf numFmtId="0" fontId="254" fillId="0" borderId="18" xfId="427" quotePrefix="1" applyFont="1" applyFill="1" applyBorder="1" applyAlignment="1">
      <alignment horizontal="center"/>
    </xf>
    <xf numFmtId="14" fontId="259" fillId="0" borderId="0" xfId="0" applyNumberFormat="1" applyFont="1" applyFill="1" applyBorder="1" applyAlignment="1">
      <alignment horizontal="center"/>
    </xf>
    <xf numFmtId="0" fontId="50" fillId="0" borderId="21" xfId="427" quotePrefix="1" applyFont="1" applyFill="1" applyBorder="1" applyAlignment="1">
      <alignment horizontal="center"/>
    </xf>
    <xf numFmtId="0" fontId="236" fillId="0" borderId="21" xfId="427" quotePrefix="1" applyFont="1" applyFill="1" applyBorder="1" applyAlignment="1">
      <alignment horizontal="center"/>
    </xf>
    <xf numFmtId="0" fontId="249" fillId="0" borderId="0" xfId="427" quotePrefix="1" applyFont="1" applyFill="1" applyBorder="1" applyAlignment="1">
      <alignment horizontal="center"/>
    </xf>
    <xf numFmtId="0" fontId="263" fillId="0" borderId="21" xfId="427" applyFont="1" applyFill="1" applyBorder="1"/>
    <xf numFmtId="0" fontId="227" fillId="0" borderId="0" xfId="427" applyFont="1" applyFill="1" applyBorder="1" applyAlignment="1">
      <alignment horizontal="left"/>
    </xf>
    <xf numFmtId="167" fontId="236" fillId="0" borderId="21" xfId="427" quotePrefix="1" applyNumberFormat="1" applyFont="1" applyFill="1" applyBorder="1" applyAlignment="1">
      <alignment horizontal="center"/>
    </xf>
    <xf numFmtId="167" fontId="249" fillId="0" borderId="0" xfId="427" quotePrefix="1" applyNumberFormat="1" applyFont="1" applyFill="1" applyBorder="1" applyAlignment="1">
      <alignment horizontal="center"/>
    </xf>
    <xf numFmtId="0" fontId="227" fillId="0" borderId="0" xfId="427" applyFont="1" applyFill="1" applyBorder="1" applyAlignment="1">
      <alignment horizontal="center"/>
    </xf>
    <xf numFmtId="0" fontId="94" fillId="0" borderId="21" xfId="427" applyFont="1" applyFill="1" applyBorder="1" applyAlignment="1">
      <alignment horizontal="center"/>
    </xf>
    <xf numFmtId="0" fontId="94" fillId="0" borderId="17" xfId="427" applyFont="1" applyFill="1" applyBorder="1" applyAlignment="1">
      <alignment horizontal="center"/>
    </xf>
    <xf numFmtId="0" fontId="99" fillId="0" borderId="20" xfId="427" applyFont="1" applyFill="1" applyBorder="1" applyAlignment="1">
      <alignment horizontal="center"/>
    </xf>
    <xf numFmtId="0" fontId="94" fillId="0" borderId="18" xfId="427" applyFont="1" applyFill="1" applyBorder="1" applyAlignment="1">
      <alignment horizontal="center"/>
    </xf>
    <xf numFmtId="0" fontId="227" fillId="0" borderId="18" xfId="427" applyFont="1" applyFill="1" applyBorder="1" applyAlignment="1">
      <alignment horizontal="center"/>
    </xf>
    <xf numFmtId="0" fontId="94" fillId="0" borderId="20" xfId="427" applyFont="1" applyFill="1" applyBorder="1" applyAlignment="1">
      <alignment horizontal="center"/>
    </xf>
    <xf numFmtId="0" fontId="94" fillId="0" borderId="19" xfId="427" applyFont="1" applyFill="1" applyBorder="1" applyAlignment="1">
      <alignment horizontal="center"/>
    </xf>
    <xf numFmtId="0" fontId="248" fillId="0" borderId="17" xfId="427" applyNumberFormat="1" applyFont="1" applyFill="1" applyBorder="1" applyAlignment="1">
      <alignment horizontal="center"/>
    </xf>
    <xf numFmtId="0" fontId="46" fillId="0" borderId="17" xfId="427" applyNumberFormat="1" applyFont="1" applyFill="1" applyBorder="1" applyAlignment="1">
      <alignment horizontal="center"/>
    </xf>
    <xf numFmtId="0" fontId="46" fillId="0" borderId="17" xfId="427" applyNumberFormat="1" applyFont="1" applyFill="1" applyBorder="1"/>
    <xf numFmtId="0" fontId="94" fillId="0" borderId="17" xfId="427" applyNumberFormat="1" applyFont="1" applyFill="1" applyBorder="1"/>
    <xf numFmtId="0" fontId="99" fillId="0" borderId="18" xfId="427" applyFont="1" applyFill="1" applyBorder="1"/>
    <xf numFmtId="0" fontId="94" fillId="0" borderId="19" xfId="427" applyNumberFormat="1" applyFont="1" applyFill="1" applyBorder="1"/>
    <xf numFmtId="0" fontId="99" fillId="0" borderId="18" xfId="427" applyFont="1" applyFill="1" applyBorder="1" applyAlignment="1">
      <alignment horizontal="center"/>
    </xf>
    <xf numFmtId="167" fontId="264" fillId="0" borderId="18" xfId="427" applyNumberFormat="1" applyFont="1" applyFill="1" applyBorder="1" applyAlignment="1"/>
    <xf numFmtId="0" fontId="245" fillId="0" borderId="21" xfId="0" quotePrefix="1" applyFont="1" applyFill="1" applyBorder="1" applyAlignment="1">
      <alignment horizontal="center"/>
    </xf>
    <xf numFmtId="0" fontId="229" fillId="0" borderId="21" xfId="0" applyFont="1" applyFill="1" applyBorder="1" applyAlignment="1">
      <alignment horizontal="center"/>
    </xf>
    <xf numFmtId="14" fontId="46" fillId="0" borderId="15" xfId="0" quotePrefix="1" applyNumberFormat="1" applyFont="1" applyFill="1" applyBorder="1" applyAlignment="1">
      <alignment horizontal="center"/>
    </xf>
    <xf numFmtId="0" fontId="248" fillId="0" borderId="17" xfId="427" quotePrefix="1" applyFont="1" applyFill="1" applyBorder="1" applyAlignment="1">
      <alignment horizontal="center"/>
    </xf>
    <xf numFmtId="0" fontId="77" fillId="0" borderId="21" xfId="427" quotePrefix="1" applyFont="1" applyFill="1" applyBorder="1"/>
    <xf numFmtId="167" fontId="258" fillId="0" borderId="21" xfId="427" applyNumberFormat="1" applyFont="1" applyFill="1" applyBorder="1" applyAlignment="1">
      <alignment horizontal="center"/>
    </xf>
    <xf numFmtId="167" fontId="99" fillId="0" borderId="21" xfId="427" applyNumberFormat="1" applyFont="1" applyFill="1" applyBorder="1" applyAlignment="1">
      <alignment horizontal="center"/>
    </xf>
    <xf numFmtId="167" fontId="116" fillId="0" borderId="21" xfId="427" applyNumberFormat="1" applyFont="1" applyFill="1" applyBorder="1" applyAlignment="1"/>
    <xf numFmtId="167" fontId="116" fillId="0" borderId="20" xfId="427" applyNumberFormat="1" applyFont="1" applyFill="1" applyBorder="1" applyAlignment="1"/>
    <xf numFmtId="0" fontId="261" fillId="0" borderId="15" xfId="0" quotePrefix="1" applyFont="1" applyFill="1" applyBorder="1" applyAlignment="1">
      <alignment horizontal="center"/>
    </xf>
    <xf numFmtId="167" fontId="261" fillId="0" borderId="0" xfId="0" applyNumberFormat="1" applyFont="1" applyFill="1" applyBorder="1" applyAlignment="1">
      <alignment horizontal="center"/>
    </xf>
    <xf numFmtId="0" fontId="250" fillId="0" borderId="15" xfId="0" quotePrefix="1" applyFont="1" applyFill="1" applyBorder="1" applyAlignment="1">
      <alignment horizontal="center"/>
    </xf>
    <xf numFmtId="0" fontId="260" fillId="0" borderId="16" xfId="0" applyFont="1" applyFill="1" applyBorder="1" applyAlignment="1">
      <alignment horizontal="center"/>
    </xf>
    <xf numFmtId="2" fontId="260" fillId="0" borderId="19" xfId="0" applyNumberFormat="1" applyFont="1" applyFill="1" applyBorder="1" applyAlignment="1">
      <alignment horizontal="center"/>
    </xf>
    <xf numFmtId="0" fontId="250" fillId="0" borderId="22" xfId="0" quotePrefix="1" applyFont="1" applyFill="1" applyBorder="1" applyAlignment="1">
      <alignment horizontal="center"/>
    </xf>
    <xf numFmtId="0" fontId="229" fillId="0" borderId="0" xfId="0" quotePrefix="1" applyFont="1" applyFill="1" applyBorder="1" applyAlignment="1">
      <alignment horizontal="center"/>
    </xf>
    <xf numFmtId="0" fontId="265" fillId="0" borderId="0" xfId="427" applyFont="1" applyFill="1" applyBorder="1"/>
    <xf numFmtId="0" fontId="265" fillId="0" borderId="0" xfId="427" quotePrefix="1" applyFont="1" applyFill="1" applyBorder="1"/>
    <xf numFmtId="0" fontId="46" fillId="0" borderId="0" xfId="427" applyFont="1" applyFill="1" applyBorder="1" applyAlignment="1">
      <alignment horizontal="left"/>
    </xf>
    <xf numFmtId="167" fontId="46" fillId="0" borderId="21" xfId="427" quotePrefix="1" applyNumberFormat="1" applyFont="1" applyFill="1" applyBorder="1" applyAlignment="1">
      <alignment horizontal="center"/>
    </xf>
    <xf numFmtId="167" fontId="46" fillId="0" borderId="0" xfId="427" quotePrefix="1" applyNumberFormat="1" applyFont="1" applyFill="1" applyBorder="1" applyAlignment="1">
      <alignment horizontal="center"/>
    </xf>
    <xf numFmtId="167" fontId="223" fillId="0" borderId="0" xfId="0" applyNumberFormat="1" applyFont="1" applyFill="1" applyBorder="1" applyAlignment="1">
      <alignment horizontal="center"/>
    </xf>
    <xf numFmtId="167" fontId="223" fillId="0" borderId="18" xfId="0" applyNumberFormat="1" applyFont="1" applyFill="1" applyBorder="1" applyAlignment="1">
      <alignment horizontal="center"/>
    </xf>
    <xf numFmtId="0" fontId="201" fillId="0" borderId="73" xfId="0" applyFont="1" applyFill="1" applyBorder="1" applyAlignment="1">
      <alignment horizontal="center"/>
    </xf>
    <xf numFmtId="0" fontId="201" fillId="0" borderId="74" xfId="0" applyFont="1" applyFill="1" applyBorder="1" applyAlignment="1">
      <alignment horizontal="center"/>
    </xf>
    <xf numFmtId="0" fontId="201" fillId="0" borderId="74" xfId="0" applyFont="1" applyFill="1" applyBorder="1"/>
    <xf numFmtId="0" fontId="201" fillId="0" borderId="75" xfId="0" applyFont="1" applyFill="1" applyBorder="1"/>
    <xf numFmtId="167" fontId="242" fillId="0" borderId="76" xfId="0" applyNumberFormat="1" applyFont="1" applyFill="1" applyBorder="1" applyAlignment="1">
      <alignment horizontal="center"/>
    </xf>
    <xf numFmtId="0" fontId="201" fillId="0" borderId="77" xfId="0" applyFont="1" applyFill="1" applyBorder="1" applyAlignment="1">
      <alignment horizontal="center"/>
    </xf>
    <xf numFmtId="167" fontId="242" fillId="0" borderId="78" xfId="0" applyNumberFormat="1" applyFont="1" applyFill="1" applyBorder="1" applyAlignment="1">
      <alignment horizontal="center"/>
    </xf>
    <xf numFmtId="0" fontId="0" fillId="0" borderId="79" xfId="0" applyFill="1" applyBorder="1"/>
    <xf numFmtId="0" fontId="0" fillId="0" borderId="80" xfId="0" applyFill="1" applyBorder="1"/>
    <xf numFmtId="167" fontId="0" fillId="0" borderId="18" xfId="0" applyNumberFormat="1" applyFont="1" applyFill="1" applyBorder="1" applyAlignment="1">
      <alignment horizontal="center"/>
    </xf>
    <xf numFmtId="0" fontId="0" fillId="0" borderId="34" xfId="0" applyFill="1" applyBorder="1" applyAlignment="1">
      <alignment horizontal="center"/>
    </xf>
    <xf numFmtId="0" fontId="0" fillId="0" borderId="39" xfId="0" applyFill="1" applyBorder="1" applyAlignment="1">
      <alignment horizontal="center"/>
    </xf>
    <xf numFmtId="0" fontId="0" fillId="0" borderId="34" xfId="0" applyFill="1" applyBorder="1" applyAlignment="1">
      <alignment horizontal="center" vertical="center"/>
    </xf>
    <xf numFmtId="0" fontId="250" fillId="0" borderId="20" xfId="437" quotePrefix="1" applyFont="1" applyFill="1" applyBorder="1"/>
    <xf numFmtId="167" fontId="200" fillId="0" borderId="19" xfId="437" applyNumberFormat="1" applyFont="1" applyFill="1" applyBorder="1" applyAlignment="1">
      <alignment horizontal="center"/>
    </xf>
    <xf numFmtId="0" fontId="200" fillId="0" borderId="18" xfId="437" applyFont="1" applyFill="1" applyBorder="1" applyAlignment="1">
      <alignment horizontal="center"/>
    </xf>
    <xf numFmtId="0" fontId="250" fillId="0" borderId="20" xfId="437" applyFont="1" applyFill="1" applyBorder="1" applyAlignment="1">
      <alignment horizontal="center"/>
    </xf>
    <xf numFmtId="167" fontId="201" fillId="0" borderId="19" xfId="437" applyNumberFormat="1" applyFill="1" applyBorder="1" applyAlignment="1">
      <alignment horizontal="center"/>
    </xf>
    <xf numFmtId="0" fontId="200" fillId="0" borderId="40" xfId="437" applyFont="1" applyFill="1" applyBorder="1" applyAlignment="1">
      <alignment horizontal="center" vertical="center"/>
    </xf>
    <xf numFmtId="0" fontId="200" fillId="0" borderId="34" xfId="437" applyFont="1" applyFill="1" applyBorder="1" applyAlignment="1">
      <alignment horizontal="center"/>
    </xf>
    <xf numFmtId="167" fontId="242" fillId="0" borderId="17" xfId="437" applyNumberFormat="1" applyFont="1" applyFill="1" applyBorder="1" applyAlignment="1">
      <alignment horizontal="center"/>
    </xf>
    <xf numFmtId="14" fontId="201" fillId="0" borderId="21" xfId="437" applyNumberFormat="1" applyFont="1" applyFill="1" applyBorder="1" applyAlignment="1">
      <alignment horizontal="center"/>
    </xf>
    <xf numFmtId="172" fontId="201" fillId="0" borderId="0" xfId="437" applyNumberFormat="1" applyFont="1" applyFill="1" applyBorder="1"/>
    <xf numFmtId="167" fontId="251" fillId="0" borderId="17" xfId="432" quotePrefix="1" applyNumberFormat="1" applyFont="1" applyFill="1" applyBorder="1" applyAlignment="1">
      <alignment horizontal="center"/>
    </xf>
    <xf numFmtId="171" fontId="250" fillId="0" borderId="34" xfId="437" applyNumberFormat="1" applyFont="1" applyFill="1" applyBorder="1" applyAlignment="1">
      <alignment horizontal="center"/>
    </xf>
    <xf numFmtId="0" fontId="50" fillId="0" borderId="0" xfId="442" applyFont="1" applyFill="1" applyBorder="1" applyAlignment="1">
      <alignment horizontal="left"/>
    </xf>
    <xf numFmtId="2" fontId="50" fillId="0" borderId="19" xfId="442" applyNumberFormat="1" applyFont="1" applyFill="1" applyBorder="1" applyAlignment="1">
      <alignment horizontal="center"/>
    </xf>
    <xf numFmtId="0" fontId="44" fillId="0" borderId="0" xfId="435" applyFont="1" applyFill="1" applyBorder="1" applyAlignment="1">
      <alignment horizontal="center"/>
    </xf>
    <xf numFmtId="2" fontId="99" fillId="0" borderId="17" xfId="0" applyNumberFormat="1" applyFont="1" applyFill="1" applyBorder="1" applyAlignment="1">
      <alignment horizontal="left"/>
    </xf>
    <xf numFmtId="0" fontId="0" fillId="0" borderId="0" xfId="0" applyFont="1" applyFill="1" applyBorder="1" applyAlignment="1">
      <alignment horizontal="left"/>
    </xf>
    <xf numFmtId="0" fontId="126" fillId="0" borderId="0" xfId="428" applyFont="1" applyFill="1" applyBorder="1"/>
    <xf numFmtId="0" fontId="229" fillId="0" borderId="15" xfId="437" quotePrefix="1" applyFont="1" applyFill="1" applyBorder="1"/>
    <xf numFmtId="1" fontId="229" fillId="0" borderId="15" xfId="437" applyNumberFormat="1" applyFont="1" applyFill="1" applyBorder="1"/>
    <xf numFmtId="14" fontId="229" fillId="0" borderId="35" xfId="437" applyNumberFormat="1" applyFont="1" applyFill="1" applyBorder="1" applyAlignment="1">
      <alignment horizontal="center"/>
    </xf>
    <xf numFmtId="14" fontId="228" fillId="0" borderId="21" xfId="437" applyNumberFormat="1" applyFont="1" applyFill="1" applyBorder="1" applyAlignment="1">
      <alignment horizontal="left"/>
    </xf>
    <xf numFmtId="1" fontId="229" fillId="0" borderId="0" xfId="437" applyNumberFormat="1" applyFont="1" applyFill="1" applyBorder="1" applyAlignment="1">
      <alignment horizontal="left"/>
    </xf>
    <xf numFmtId="14" fontId="232" fillId="0" borderId="0" xfId="437" applyNumberFormat="1" applyFont="1" applyFill="1" applyBorder="1" applyAlignment="1">
      <alignment horizontal="left"/>
    </xf>
    <xf numFmtId="0" fontId="201" fillId="0" borderId="35" xfId="437" applyFill="1" applyBorder="1" applyAlignment="1">
      <alignment horizontal="center"/>
    </xf>
    <xf numFmtId="0" fontId="201" fillId="0" borderId="22" xfId="437" applyFill="1" applyBorder="1" applyAlignment="1">
      <alignment horizontal="center"/>
    </xf>
    <xf numFmtId="22" fontId="201" fillId="0" borderId="38" xfId="437" applyNumberFormat="1" applyFill="1" applyBorder="1" applyAlignment="1">
      <alignment horizontal="left"/>
    </xf>
    <xf numFmtId="0" fontId="201" fillId="0" borderId="45" xfId="437" applyFill="1" applyBorder="1" applyAlignment="1">
      <alignment horizontal="center"/>
    </xf>
    <xf numFmtId="0" fontId="201" fillId="0" borderId="46" xfId="437" applyFill="1" applyBorder="1" applyAlignment="1">
      <alignment horizontal="center"/>
    </xf>
    <xf numFmtId="0" fontId="228" fillId="0" borderId="40" xfId="437" applyFont="1" applyFill="1" applyBorder="1" applyAlignment="1">
      <alignment horizontal="left" vertical="center"/>
    </xf>
    <xf numFmtId="0" fontId="228" fillId="0" borderId="40" xfId="437" applyFont="1" applyFill="1" applyBorder="1" applyAlignment="1">
      <alignment horizontal="left"/>
    </xf>
    <xf numFmtId="0" fontId="201" fillId="0" borderId="17" xfId="437" quotePrefix="1" applyFill="1" applyBorder="1"/>
    <xf numFmtId="14" fontId="234" fillId="0" borderId="17" xfId="437" applyNumberFormat="1" applyFont="1" applyFill="1" applyBorder="1"/>
    <xf numFmtId="0" fontId="201" fillId="0" borderId="38" xfId="437" applyFill="1" applyBorder="1" applyAlignment="1">
      <alignment horizontal="center"/>
    </xf>
    <xf numFmtId="172" fontId="229" fillId="0" borderId="0" xfId="437" applyNumberFormat="1" applyFont="1" applyFill="1" applyBorder="1"/>
    <xf numFmtId="1" fontId="46" fillId="0" borderId="35" xfId="427" applyNumberFormat="1" applyFont="1" applyFill="1" applyBorder="1" applyAlignment="1">
      <alignment horizontal="center"/>
    </xf>
    <xf numFmtId="0" fontId="236" fillId="0" borderId="22" xfId="0" applyFont="1" applyFill="1" applyBorder="1"/>
    <xf numFmtId="0" fontId="236" fillId="0" borderId="21" xfId="0" quotePrefix="1" applyFont="1" applyFill="1" applyBorder="1"/>
    <xf numFmtId="0" fontId="104" fillId="0" borderId="27" xfId="433" applyFont="1" applyFill="1" applyBorder="1"/>
    <xf numFmtId="0" fontId="104" fillId="0" borderId="1" xfId="433" applyFont="1" applyFill="1" applyBorder="1" applyAlignment="1">
      <alignment horizontal="left" vertical="center"/>
    </xf>
    <xf numFmtId="0" fontId="104" fillId="0" borderId="1" xfId="433" applyFont="1" applyFill="1" applyBorder="1"/>
    <xf numFmtId="0" fontId="104" fillId="0" borderId="24" xfId="433" applyFont="1" applyFill="1" applyBorder="1"/>
    <xf numFmtId="0" fontId="123" fillId="0" borderId="0" xfId="0" applyFont="1" applyFill="1" applyBorder="1" applyAlignment="1">
      <alignment horizontal="center"/>
    </xf>
    <xf numFmtId="0" fontId="54" fillId="0" borderId="28" xfId="433" applyFont="1" applyFill="1" applyBorder="1"/>
    <xf numFmtId="0" fontId="54" fillId="0" borderId="1" xfId="433" applyFont="1" applyFill="1" applyBorder="1" applyAlignment="1">
      <alignment horizontal="center" vertical="center"/>
    </xf>
    <xf numFmtId="0" fontId="54" fillId="0" borderId="1" xfId="432" applyFont="1" applyFill="1" applyBorder="1" applyAlignment="1">
      <alignment horizontal="center"/>
    </xf>
    <xf numFmtId="0" fontId="46" fillId="0" borderId="22" xfId="427" applyFont="1" applyFill="1" applyBorder="1"/>
    <xf numFmtId="0" fontId="99" fillId="0" borderId="15" xfId="427" applyFont="1" applyFill="1" applyBorder="1"/>
    <xf numFmtId="0" fontId="108" fillId="0" borderId="15" xfId="427" applyFont="1" applyFill="1" applyBorder="1"/>
    <xf numFmtId="0" fontId="91" fillId="0" borderId="15" xfId="427" applyFont="1" applyFill="1" applyBorder="1"/>
    <xf numFmtId="0" fontId="91" fillId="0" borderId="22" xfId="427" applyFont="1" applyFill="1" applyBorder="1"/>
    <xf numFmtId="49" fontId="108" fillId="0" borderId="16" xfId="427" applyNumberFormat="1" applyFont="1" applyFill="1" applyBorder="1" applyAlignment="1">
      <alignment horizontal="center"/>
    </xf>
    <xf numFmtId="0" fontId="91" fillId="0" borderId="0" xfId="427" applyFont="1" applyFill="1" applyBorder="1"/>
    <xf numFmtId="0" fontId="91" fillId="0" borderId="21" xfId="427" applyFont="1" applyFill="1" applyBorder="1"/>
    <xf numFmtId="0" fontId="99" fillId="0" borderId="17" xfId="427" applyFont="1" applyFill="1" applyBorder="1"/>
    <xf numFmtId="0" fontId="266" fillId="0" borderId="17" xfId="427" applyFont="1" applyFill="1" applyBorder="1" applyAlignment="1"/>
    <xf numFmtId="0" fontId="99" fillId="0" borderId="21" xfId="427" applyFont="1" applyFill="1" applyBorder="1"/>
    <xf numFmtId="0" fontId="0" fillId="0" borderId="35" xfId="0" applyFill="1" applyBorder="1" applyAlignment="1">
      <alignment horizontal="center"/>
    </xf>
    <xf numFmtId="0" fontId="267" fillId="0" borderId="0" xfId="0" applyFont="1" applyFill="1" applyAlignment="1">
      <alignment horizontal="center"/>
    </xf>
    <xf numFmtId="0" fontId="229" fillId="0" borderId="22" xfId="0" applyFont="1" applyFill="1" applyBorder="1" applyAlignment="1">
      <alignment horizontal="center"/>
    </xf>
    <xf numFmtId="167" fontId="0" fillId="0" borderId="15" xfId="0" applyNumberFormat="1" applyFill="1" applyBorder="1" applyAlignment="1">
      <alignment horizontal="center"/>
    </xf>
    <xf numFmtId="14" fontId="0" fillId="0" borderId="15" xfId="0" applyNumberFormat="1" applyFill="1" applyBorder="1" applyAlignment="1">
      <alignment horizontal="center"/>
    </xf>
    <xf numFmtId="0" fontId="268" fillId="0" borderId="21" xfId="0" applyFont="1" applyFill="1" applyBorder="1" applyAlignment="1">
      <alignment horizontal="center"/>
    </xf>
    <xf numFmtId="0" fontId="222" fillId="0" borderId="0" xfId="0" applyFont="1" applyFill="1" applyBorder="1" applyAlignment="1">
      <alignment horizontal="center"/>
    </xf>
    <xf numFmtId="14" fontId="229" fillId="0" borderId="21" xfId="0" applyNumberFormat="1" applyFont="1" applyFill="1" applyBorder="1" applyAlignment="1">
      <alignment horizontal="center"/>
    </xf>
    <xf numFmtId="0" fontId="229" fillId="0" borderId="21" xfId="0" applyFont="1" applyFill="1" applyBorder="1" applyAlignment="1">
      <alignment horizontal="center" vertical="center"/>
    </xf>
    <xf numFmtId="0" fontId="267" fillId="0" borderId="19" xfId="0" applyFont="1" applyFill="1" applyBorder="1" applyAlignment="1">
      <alignment horizontal="center"/>
    </xf>
    <xf numFmtId="0" fontId="250" fillId="0" borderId="22" xfId="0" applyFont="1" applyFill="1" applyBorder="1" applyAlignment="1">
      <alignment horizontal="center"/>
    </xf>
    <xf numFmtId="0" fontId="250" fillId="0" borderId="15" xfId="0" applyFont="1" applyFill="1" applyBorder="1" applyAlignment="1">
      <alignment horizontal="center"/>
    </xf>
    <xf numFmtId="0" fontId="250" fillId="0" borderId="16" xfId="0" applyFont="1" applyFill="1" applyBorder="1" applyAlignment="1">
      <alignment horizontal="center"/>
    </xf>
    <xf numFmtId="0" fontId="250" fillId="0" borderId="21" xfId="0" applyFont="1" applyFill="1" applyBorder="1" applyAlignment="1">
      <alignment horizontal="center"/>
    </xf>
    <xf numFmtId="0" fontId="250" fillId="0" borderId="17" xfId="0" applyFont="1" applyFill="1" applyBorder="1" applyAlignment="1">
      <alignment horizontal="center"/>
    </xf>
    <xf numFmtId="0" fontId="269" fillId="0" borderId="21" xfId="0" applyFont="1" applyFill="1" applyBorder="1" applyAlignment="1">
      <alignment horizontal="center"/>
    </xf>
    <xf numFmtId="0" fontId="270" fillId="0" borderId="0" xfId="0" applyFont="1" applyFill="1" applyBorder="1" applyAlignment="1">
      <alignment horizontal="center"/>
    </xf>
    <xf numFmtId="0" fontId="269" fillId="0" borderId="0" xfId="0" applyFont="1" applyFill="1" applyBorder="1" applyAlignment="1">
      <alignment horizontal="center"/>
    </xf>
    <xf numFmtId="0" fontId="250" fillId="0" borderId="21" xfId="0" applyFont="1" applyFill="1" applyBorder="1" applyAlignment="1">
      <alignment horizontal="center" vertical="center"/>
    </xf>
    <xf numFmtId="0" fontId="250" fillId="0" borderId="0" xfId="0" applyFont="1" applyFill="1" applyBorder="1" applyAlignment="1">
      <alignment horizontal="center" vertical="center"/>
    </xf>
    <xf numFmtId="0" fontId="250" fillId="0" borderId="20" xfId="0" applyFont="1" applyFill="1" applyBorder="1" applyAlignment="1">
      <alignment horizontal="center"/>
    </xf>
    <xf numFmtId="0" fontId="250" fillId="0" borderId="19" xfId="0" applyFont="1" applyFill="1" applyBorder="1" applyAlignment="1">
      <alignment horizontal="center"/>
    </xf>
    <xf numFmtId="0" fontId="50" fillId="0" borderId="0" xfId="0" quotePrefix="1" applyFont="1" applyFill="1"/>
    <xf numFmtId="0" fontId="46" fillId="0" borderId="47" xfId="442" applyFont="1" applyFill="1" applyBorder="1"/>
    <xf numFmtId="0" fontId="46" fillId="0" borderId="48" xfId="442" applyFont="1" applyFill="1" applyBorder="1"/>
    <xf numFmtId="0" fontId="46" fillId="0" borderId="49" xfId="442" applyFont="1" applyFill="1" applyBorder="1"/>
    <xf numFmtId="0" fontId="225" fillId="0" borderId="50" xfId="0" applyFont="1" applyFill="1" applyBorder="1" applyAlignment="1">
      <alignment horizontal="center"/>
    </xf>
    <xf numFmtId="0" fontId="46" fillId="0" borderId="51" xfId="442" applyFont="1" applyFill="1" applyBorder="1"/>
    <xf numFmtId="0" fontId="46" fillId="0" borderId="52" xfId="442" applyFont="1" applyFill="1" applyBorder="1"/>
    <xf numFmtId="0" fontId="236" fillId="0" borderId="21" xfId="442" applyFont="1" applyFill="1" applyBorder="1" applyAlignment="1">
      <alignment horizontal="center"/>
    </xf>
    <xf numFmtId="0" fontId="99" fillId="0" borderId="21" xfId="442" applyFont="1" applyFill="1" applyBorder="1" applyAlignment="1">
      <alignment horizontal="center" vertical="top" wrapText="1"/>
    </xf>
    <xf numFmtId="0" fontId="90" fillId="0" borderId="17" xfId="442" applyFont="1" applyFill="1" applyBorder="1" applyAlignment="1">
      <alignment horizontal="center" vertical="top" wrapText="1"/>
    </xf>
    <xf numFmtId="0" fontId="90" fillId="0" borderId="21" xfId="442" applyFont="1" applyFill="1" applyBorder="1" applyAlignment="1">
      <alignment horizontal="center" vertical="top" wrapText="1"/>
    </xf>
    <xf numFmtId="0" fontId="0" fillId="0" borderId="20" xfId="0" applyFill="1" applyBorder="1" applyAlignment="1">
      <alignment horizontal="left"/>
    </xf>
    <xf numFmtId="0" fontId="99" fillId="0" borderId="0" xfId="435" applyFont="1" applyFill="1"/>
    <xf numFmtId="0" fontId="99" fillId="0" borderId="21" xfId="435" quotePrefix="1" applyFont="1" applyFill="1" applyBorder="1"/>
    <xf numFmtId="0" fontId="99" fillId="0" borderId="0" xfId="435" applyFont="1" applyFill="1" applyBorder="1" applyAlignment="1">
      <alignment horizontal="right"/>
    </xf>
    <xf numFmtId="0" fontId="116" fillId="0" borderId="17" xfId="435" applyFont="1" applyFill="1" applyBorder="1"/>
    <xf numFmtId="0" fontId="108" fillId="0" borderId="22" xfId="435" applyFont="1" applyFill="1" applyBorder="1"/>
    <xf numFmtId="2" fontId="99" fillId="0" borderId="15" xfId="435" applyNumberFormat="1" applyFont="1" applyFill="1" applyBorder="1"/>
    <xf numFmtId="171" fontId="99" fillId="0" borderId="15" xfId="435" applyNumberFormat="1" applyFont="1" applyFill="1" applyBorder="1"/>
    <xf numFmtId="0" fontId="99" fillId="0" borderId="15" xfId="435" applyNumberFormat="1" applyFont="1" applyFill="1" applyBorder="1" applyAlignment="1">
      <alignment horizontal="center"/>
    </xf>
    <xf numFmtId="0" fontId="99" fillId="0" borderId="16" xfId="435" applyNumberFormat="1" applyFont="1" applyFill="1" applyBorder="1" applyAlignment="1">
      <alignment horizontal="center"/>
    </xf>
    <xf numFmtId="2" fontId="99" fillId="0" borderId="0" xfId="435" applyNumberFormat="1" applyFont="1" applyFill="1" applyBorder="1"/>
    <xf numFmtId="171" fontId="99" fillId="0" borderId="0" xfId="435" applyNumberFormat="1" applyFont="1" applyFill="1" applyBorder="1"/>
    <xf numFmtId="2" fontId="121" fillId="0" borderId="18" xfId="435" quotePrefix="1" applyNumberFormat="1" applyFont="1" applyFill="1" applyBorder="1"/>
    <xf numFmtId="0" fontId="108" fillId="0" borderId="0" xfId="435" applyFont="1" applyFill="1"/>
    <xf numFmtId="2" fontId="99" fillId="0" borderId="0" xfId="435" applyNumberFormat="1" applyFont="1" applyFill="1"/>
    <xf numFmtId="171" fontId="99" fillId="0" borderId="0" xfId="435" applyNumberFormat="1" applyFont="1" applyFill="1"/>
    <xf numFmtId="0" fontId="137" fillId="0" borderId="0" xfId="428" applyFont="1" applyFill="1" applyBorder="1"/>
    <xf numFmtId="167" fontId="99" fillId="0" borderId="0" xfId="435" applyNumberFormat="1" applyFont="1" applyFill="1" applyBorder="1"/>
    <xf numFmtId="0" fontId="239" fillId="0" borderId="0" xfId="0" applyFont="1" applyFill="1"/>
    <xf numFmtId="171" fontId="99" fillId="0" borderId="16" xfId="435" applyNumberFormat="1" applyFont="1" applyFill="1" applyBorder="1"/>
    <xf numFmtId="0" fontId="46" fillId="0" borderId="21" xfId="428" applyFont="1" applyFill="1" applyBorder="1"/>
    <xf numFmtId="171" fontId="99" fillId="0" borderId="17" xfId="435" applyNumberFormat="1" applyFont="1" applyFill="1" applyBorder="1"/>
    <xf numFmtId="0" fontId="46" fillId="0" borderId="20" xfId="428" applyFont="1" applyFill="1" applyBorder="1"/>
    <xf numFmtId="171" fontId="99" fillId="0" borderId="19" xfId="435" applyNumberFormat="1" applyFont="1" applyFill="1" applyBorder="1"/>
    <xf numFmtId="0" fontId="0" fillId="0" borderId="17" xfId="0" applyFont="1" applyFill="1" applyBorder="1" applyAlignment="1">
      <alignment horizontal="left"/>
    </xf>
    <xf numFmtId="0" fontId="123" fillId="0" borderId="17" xfId="0" applyFont="1" applyFill="1" applyBorder="1" applyAlignment="1">
      <alignment horizontal="left"/>
    </xf>
    <xf numFmtId="0" fontId="123" fillId="0" borderId="19" xfId="0" applyFont="1" applyFill="1" applyBorder="1" applyAlignment="1">
      <alignment horizontal="left"/>
    </xf>
    <xf numFmtId="0" fontId="138" fillId="0" borderId="0" xfId="435" applyFont="1" applyFill="1" applyAlignment="1">
      <alignment horizontal="left" readingOrder="1"/>
    </xf>
    <xf numFmtId="0" fontId="271" fillId="0" borderId="20" xfId="0" applyFont="1" applyFill="1" applyBorder="1"/>
    <xf numFmtId="0" fontId="0" fillId="62" borderId="0" xfId="0" applyFill="1"/>
    <xf numFmtId="0" fontId="0" fillId="62" borderId="0" xfId="0" applyFont="1" applyFill="1" applyBorder="1"/>
    <xf numFmtId="0" fontId="0" fillId="62" borderId="0" xfId="0" applyFill="1" applyBorder="1"/>
    <xf numFmtId="0" fontId="203" fillId="62" borderId="0" xfId="0" applyFont="1" applyFill="1" applyBorder="1"/>
    <xf numFmtId="0" fontId="272" fillId="62" borderId="0" xfId="0" applyFont="1" applyFill="1" applyBorder="1" applyAlignment="1">
      <alignment horizontal="left" vertical="center"/>
    </xf>
    <xf numFmtId="0" fontId="245" fillId="62" borderId="0" xfId="0" applyFont="1" applyFill="1" applyBorder="1"/>
    <xf numFmtId="0" fontId="245" fillId="62" borderId="0" xfId="0" applyFont="1" applyFill="1" applyBorder="1" applyAlignment="1">
      <alignment horizontal="left"/>
    </xf>
    <xf numFmtId="0" fontId="273" fillId="62" borderId="0" xfId="0" applyFont="1" applyFill="1" applyBorder="1" applyAlignment="1">
      <alignment horizontal="left" vertical="top"/>
    </xf>
    <xf numFmtId="0" fontId="0" fillId="62" borderId="0" xfId="0" applyFont="1" applyFill="1" applyBorder="1" applyAlignment="1">
      <alignment vertical="top"/>
    </xf>
    <xf numFmtId="0" fontId="245" fillId="62" borderId="0" xfId="0" applyFont="1" applyFill="1" applyBorder="1" applyAlignment="1">
      <alignment vertical="top"/>
    </xf>
    <xf numFmtId="0" fontId="0" fillId="62" borderId="0" xfId="0" applyFill="1" applyBorder="1" applyAlignment="1">
      <alignment vertical="top"/>
    </xf>
    <xf numFmtId="0" fontId="274" fillId="62" borderId="0" xfId="0" applyFont="1" applyFill="1" applyBorder="1" applyAlignment="1">
      <alignment horizontal="left" vertical="center"/>
    </xf>
    <xf numFmtId="0" fontId="275" fillId="62" borderId="0" xfId="0" applyFont="1" applyFill="1" applyBorder="1" applyAlignment="1">
      <alignment horizontal="left"/>
    </xf>
    <xf numFmtId="0" fontId="245" fillId="62" borderId="0" xfId="0" applyFont="1" applyFill="1" applyBorder="1" applyAlignment="1">
      <alignment horizontal="left" vertical="center"/>
    </xf>
    <xf numFmtId="0" fontId="273" fillId="62" borderId="0" xfId="0" applyFont="1" applyFill="1" applyBorder="1" applyAlignment="1">
      <alignment vertical="top"/>
    </xf>
    <xf numFmtId="0" fontId="274" fillId="62" borderId="0" xfId="0" applyFont="1" applyFill="1" applyBorder="1"/>
    <xf numFmtId="0" fontId="276" fillId="62" borderId="0" xfId="0" applyFont="1" applyFill="1" applyBorder="1"/>
    <xf numFmtId="0" fontId="277" fillId="62" borderId="0" xfId="0" applyFont="1" applyFill="1" applyBorder="1"/>
    <xf numFmtId="0" fontId="276" fillId="62" borderId="0" xfId="0" applyFont="1" applyFill="1" applyBorder="1" applyAlignment="1">
      <alignment vertical="top"/>
    </xf>
    <xf numFmtId="0" fontId="277" fillId="62" borderId="0" xfId="0" applyFont="1" applyFill="1" applyBorder="1" applyAlignment="1">
      <alignment vertical="top"/>
    </xf>
    <xf numFmtId="0" fontId="278" fillId="62" borderId="0" xfId="387" applyFont="1" applyFill="1" applyBorder="1" applyAlignment="1"/>
    <xf numFmtId="0" fontId="245" fillId="62" borderId="0" xfId="387" applyFont="1" applyFill="1" applyBorder="1" applyAlignment="1">
      <alignment horizontal="left" vertical="center"/>
    </xf>
    <xf numFmtId="0" fontId="0" fillId="62" borderId="0" xfId="0" applyFill="1" applyBorder="1" applyAlignment="1">
      <alignment horizontal="left"/>
    </xf>
    <xf numFmtId="0" fontId="212" fillId="62" borderId="0" xfId="387" applyFill="1" applyBorder="1" applyAlignment="1"/>
    <xf numFmtId="0" fontId="0" fillId="62" borderId="0" xfId="0" applyFill="1" applyBorder="1" applyAlignment="1">
      <alignment horizontal="left" vertical="center"/>
    </xf>
    <xf numFmtId="0" fontId="99" fillId="62" borderId="0" xfId="0" applyFont="1" applyFill="1" applyBorder="1"/>
    <xf numFmtId="0" fontId="252" fillId="62" borderId="0" xfId="0" applyFont="1" applyFill="1"/>
    <xf numFmtId="0" fontId="0" fillId="0" borderId="0" xfId="0" applyFont="1" applyFill="1" applyBorder="1" applyAlignment="1">
      <alignment horizontal="left"/>
    </xf>
    <xf numFmtId="0" fontId="0" fillId="0" borderId="18" xfId="0" applyFill="1" applyBorder="1" applyAlignment="1">
      <alignment horizontal="center"/>
    </xf>
    <xf numFmtId="0" fontId="0" fillId="0" borderId="0" xfId="0" applyFill="1" applyBorder="1" applyAlignment="1">
      <alignment horizontal="center"/>
    </xf>
    <xf numFmtId="0" fontId="0" fillId="0" borderId="0" xfId="0" applyFill="1" applyAlignment="1">
      <alignment horizontal="center"/>
    </xf>
    <xf numFmtId="0" fontId="0" fillId="0" borderId="18" xfId="0" applyFill="1" applyBorder="1" applyAlignment="1">
      <alignment horizontal="center"/>
    </xf>
    <xf numFmtId="0" fontId="0" fillId="0" borderId="0" xfId="0" applyFont="1" applyFill="1" applyBorder="1" applyAlignment="1">
      <alignment horizontal="left"/>
    </xf>
    <xf numFmtId="0" fontId="0" fillId="0" borderId="0" xfId="0" applyFill="1" applyBorder="1" applyAlignment="1">
      <alignment horizontal="center"/>
    </xf>
    <xf numFmtId="0" fontId="0" fillId="0" borderId="0" xfId="0" applyFill="1" applyAlignment="1">
      <alignment horizontal="center"/>
    </xf>
    <xf numFmtId="0" fontId="279" fillId="62" borderId="0" xfId="0" applyFont="1" applyFill="1"/>
    <xf numFmtId="0" fontId="71" fillId="62" borderId="0" xfId="0" applyFont="1" applyFill="1" applyBorder="1" applyAlignment="1">
      <alignment horizontal="left" vertical="center"/>
    </xf>
    <xf numFmtId="0" fontId="0" fillId="62" borderId="0" xfId="0" applyFont="1" applyFill="1"/>
    <xf numFmtId="0" fontId="201" fillId="62" borderId="0" xfId="0" applyFont="1" applyFill="1"/>
    <xf numFmtId="0" fontId="46" fillId="0" borderId="0" xfId="435" applyFont="1" applyFill="1" applyBorder="1" applyAlignment="1">
      <alignment horizontal="center" vertical="top" wrapText="1"/>
    </xf>
    <xf numFmtId="0" fontId="50" fillId="0" borderId="20" xfId="435" quotePrefix="1" applyFont="1" applyFill="1" applyBorder="1"/>
    <xf numFmtId="0" fontId="126" fillId="62" borderId="0" xfId="428" applyFont="1" applyFill="1" applyBorder="1"/>
    <xf numFmtId="0" fontId="271" fillId="62" borderId="0" xfId="0" applyFont="1" applyFill="1" applyAlignment="1">
      <alignment vertical="top" wrapText="1"/>
    </xf>
    <xf numFmtId="0" fontId="46" fillId="0" borderId="0" xfId="0" applyNumberFormat="1" applyFont="1" applyFill="1" applyBorder="1" applyAlignment="1">
      <alignment horizontal="center" vertical="center" wrapText="1"/>
    </xf>
    <xf numFmtId="0" fontId="245" fillId="62" borderId="0" xfId="0" applyFont="1" applyFill="1"/>
    <xf numFmtId="0" fontId="46" fillId="62" borderId="0" xfId="428" applyFont="1" applyFill="1" applyBorder="1"/>
    <xf numFmtId="0" fontId="47" fillId="62" borderId="0" xfId="428" applyFont="1" applyFill="1" applyBorder="1"/>
    <xf numFmtId="0" fontId="168" fillId="62" borderId="0" xfId="0" applyFont="1" applyFill="1" applyBorder="1"/>
    <xf numFmtId="0" fontId="90" fillId="62" borderId="0" xfId="428" applyFont="1" applyFill="1"/>
    <xf numFmtId="0" fontId="94" fillId="62" borderId="0" xfId="428" applyFont="1" applyFill="1"/>
    <xf numFmtId="0" fontId="95" fillId="62" borderId="0" xfId="428" applyFont="1" applyFill="1"/>
    <xf numFmtId="0" fontId="97" fillId="62" borderId="0" xfId="428" applyFont="1" applyFill="1" applyBorder="1"/>
    <xf numFmtId="0" fontId="94" fillId="62" borderId="0" xfId="428" applyFont="1" applyFill="1" applyBorder="1"/>
    <xf numFmtId="0" fontId="94" fillId="62" borderId="0" xfId="0" applyFont="1" applyFill="1" applyBorder="1"/>
    <xf numFmtId="0" fontId="46" fillId="62" borderId="22" xfId="0" applyFont="1" applyFill="1" applyBorder="1"/>
    <xf numFmtId="0" fontId="99" fillId="62" borderId="15" xfId="428" applyFont="1" applyFill="1" applyBorder="1"/>
    <xf numFmtId="0" fontId="94" fillId="62" borderId="16" xfId="428" applyFont="1" applyFill="1" applyBorder="1"/>
    <xf numFmtId="0" fontId="46" fillId="62" borderId="20" xfId="0" applyFont="1" applyFill="1" applyBorder="1"/>
    <xf numFmtId="0" fontId="99" fillId="62" borderId="18" xfId="428" applyFont="1" applyFill="1" applyBorder="1"/>
    <xf numFmtId="0" fontId="94" fillId="62" borderId="19" xfId="428" applyFont="1" applyFill="1" applyBorder="1"/>
    <xf numFmtId="0" fontId="46" fillId="62" borderId="0" xfId="0" applyFont="1" applyFill="1" applyBorder="1"/>
    <xf numFmtId="0" fontId="99" fillId="62" borderId="0" xfId="428" applyFont="1" applyFill="1" applyBorder="1"/>
    <xf numFmtId="0" fontId="113" fillId="62" borderId="0" xfId="0" applyFont="1" applyFill="1" applyBorder="1"/>
    <xf numFmtId="0" fontId="99" fillId="62" borderId="0" xfId="428" applyFont="1" applyFill="1"/>
    <xf numFmtId="0" fontId="96" fillId="62" borderId="0" xfId="428" applyFont="1" applyFill="1"/>
    <xf numFmtId="0" fontId="96" fillId="62" borderId="0" xfId="428" applyFont="1" applyFill="1" applyBorder="1"/>
    <xf numFmtId="0" fontId="94" fillId="62" borderId="0" xfId="0" applyFont="1" applyFill="1"/>
    <xf numFmtId="0" fontId="105" fillId="62" borderId="0" xfId="428" applyFont="1" applyFill="1" applyBorder="1"/>
    <xf numFmtId="0" fontId="222" fillId="62" borderId="0" xfId="0" applyFont="1" applyFill="1" applyBorder="1"/>
    <xf numFmtId="0" fontId="71" fillId="62" borderId="0" xfId="428" applyFont="1" applyFill="1" applyBorder="1"/>
    <xf numFmtId="0" fontId="112" fillId="62" borderId="0" xfId="0" applyFont="1" applyFill="1" applyBorder="1"/>
    <xf numFmtId="0" fontId="79" fillId="62" borderId="0" xfId="0" applyFont="1" applyFill="1"/>
    <xf numFmtId="0" fontId="92" fillId="62" borderId="0" xfId="427" applyFont="1" applyFill="1"/>
    <xf numFmtId="0" fontId="147" fillId="62" borderId="0" xfId="0" applyFont="1" applyFill="1"/>
    <xf numFmtId="0" fontId="99" fillId="62" borderId="0" xfId="435" applyFont="1" applyFill="1" applyBorder="1"/>
    <xf numFmtId="0" fontId="46" fillId="62" borderId="0" xfId="435" applyFont="1" applyFill="1"/>
    <xf numFmtId="0" fontId="222" fillId="62" borderId="0" xfId="0" applyFont="1" applyFill="1"/>
    <xf numFmtId="0" fontId="0" fillId="62" borderId="0" xfId="0" applyFill="1" applyAlignment="1">
      <alignment horizontal="center"/>
    </xf>
    <xf numFmtId="0" fontId="0" fillId="62" borderId="17" xfId="0" applyFill="1" applyBorder="1"/>
    <xf numFmtId="0" fontId="0" fillId="62" borderId="18" xfId="0" applyFont="1" applyFill="1" applyBorder="1"/>
    <xf numFmtId="0" fontId="99" fillId="62" borderId="21" xfId="0" applyFont="1" applyFill="1" applyBorder="1"/>
    <xf numFmtId="166" fontId="99" fillId="62" borderId="0" xfId="314" applyFont="1" applyFill="1" applyBorder="1"/>
    <xf numFmtId="166" fontId="99" fillId="62" borderId="0" xfId="314" applyFont="1" applyFill="1" applyBorder="1" applyAlignment="1">
      <alignment horizontal="center"/>
    </xf>
    <xf numFmtId="0" fontId="0" fillId="62" borderId="15" xfId="0" applyFill="1" applyBorder="1"/>
    <xf numFmtId="0" fontId="0" fillId="62" borderId="16" xfId="0" applyFill="1" applyBorder="1"/>
    <xf numFmtId="0" fontId="0" fillId="62" borderId="21" xfId="0" applyFill="1" applyBorder="1"/>
    <xf numFmtId="0" fontId="0" fillId="62" borderId="17" xfId="0" applyFill="1" applyBorder="1" applyAlignment="1">
      <alignment horizontal="center"/>
    </xf>
    <xf numFmtId="0" fontId="0" fillId="62" borderId="18" xfId="0" applyFill="1" applyBorder="1"/>
    <xf numFmtId="0" fontId="121" fillId="62" borderId="15" xfId="435" quotePrefix="1" applyFont="1" applyFill="1" applyBorder="1" applyAlignment="1">
      <alignment horizontal="center"/>
    </xf>
    <xf numFmtId="0" fontId="93" fillId="62" borderId="0" xfId="0" quotePrefix="1" applyFont="1" applyFill="1" applyBorder="1"/>
    <xf numFmtId="0" fontId="121" fillId="62" borderId="0" xfId="435" quotePrefix="1" applyFont="1" applyFill="1" applyBorder="1" applyAlignment="1">
      <alignment horizontal="center"/>
    </xf>
    <xf numFmtId="0" fontId="106" fillId="62" borderId="0" xfId="0" quotePrefix="1" applyFont="1" applyFill="1"/>
    <xf numFmtId="0" fontId="280" fillId="62" borderId="0" xfId="428" applyFont="1" applyFill="1" applyBorder="1"/>
    <xf numFmtId="1" fontId="99" fillId="62" borderId="0" xfId="427" applyNumberFormat="1" applyFont="1" applyFill="1" applyBorder="1" applyAlignment="1">
      <alignment horizontal="center"/>
    </xf>
    <xf numFmtId="0" fontId="0" fillId="62" borderId="22" xfId="0" applyFill="1" applyBorder="1"/>
    <xf numFmtId="0" fontId="0" fillId="62" borderId="0" xfId="0" applyFill="1" applyBorder="1" applyAlignment="1">
      <alignment horizontal="center"/>
    </xf>
    <xf numFmtId="0" fontId="0" fillId="62" borderId="20" xfId="0" applyFill="1" applyBorder="1"/>
    <xf numFmtId="2" fontId="0" fillId="62" borderId="0" xfId="0" applyNumberFormat="1" applyFill="1" applyBorder="1" applyAlignment="1">
      <alignment horizontal="center"/>
    </xf>
    <xf numFmtId="0" fontId="223" fillId="62" borderId="0" xfId="0" applyFont="1" applyFill="1"/>
    <xf numFmtId="0" fontId="80" fillId="62" borderId="0" xfId="428" applyFont="1" applyFill="1" applyBorder="1"/>
    <xf numFmtId="0" fontId="99" fillId="62" borderId="21" xfId="0" applyFont="1" applyFill="1" applyBorder="1" applyAlignment="1">
      <alignment horizontal="center" wrapText="1"/>
    </xf>
    <xf numFmtId="1" fontId="99" fillId="62" borderId="21" xfId="427" applyNumberFormat="1" applyFont="1" applyFill="1" applyBorder="1" applyAlignment="1">
      <alignment horizontal="center"/>
    </xf>
    <xf numFmtId="0" fontId="271" fillId="62" borderId="21" xfId="0" applyFont="1" applyFill="1" applyBorder="1"/>
    <xf numFmtId="0" fontId="281" fillId="62" borderId="0" xfId="0" applyFont="1" applyFill="1" applyBorder="1"/>
    <xf numFmtId="0" fontId="282" fillId="62" borderId="0" xfId="0" applyFont="1" applyFill="1" applyBorder="1"/>
    <xf numFmtId="0" fontId="50" fillId="62" borderId="0" xfId="435" quotePrefix="1" applyFont="1" applyFill="1" applyBorder="1" applyAlignment="1">
      <alignment horizontal="center"/>
    </xf>
    <xf numFmtId="0" fontId="0" fillId="62" borderId="0" xfId="0" applyFill="1" applyBorder="1" applyAlignment="1">
      <alignment horizontal="right"/>
    </xf>
    <xf numFmtId="0" fontId="50" fillId="62" borderId="0" xfId="435" quotePrefix="1" applyFont="1" applyFill="1" applyBorder="1"/>
    <xf numFmtId="0" fontId="115" fillId="62" borderId="0" xfId="0" applyFont="1" applyFill="1" applyBorder="1"/>
    <xf numFmtId="0" fontId="116" fillId="62" borderId="0" xfId="0" applyFont="1" applyFill="1" applyBorder="1"/>
    <xf numFmtId="14" fontId="283" fillId="62" borderId="0" xfId="0" applyNumberFormat="1" applyFont="1" applyFill="1" applyBorder="1" applyAlignment="1">
      <alignment horizontal="center"/>
    </xf>
    <xf numFmtId="14" fontId="0" fillId="62" borderId="0" xfId="0" applyNumberFormat="1" applyFill="1" applyAlignment="1">
      <alignment horizontal="center"/>
    </xf>
    <xf numFmtId="2" fontId="0" fillId="62" borderId="0" xfId="0" applyNumberFormat="1" applyFill="1" applyAlignment="1">
      <alignment horizontal="center"/>
    </xf>
    <xf numFmtId="0" fontId="284" fillId="62" borderId="0" xfId="0" applyFont="1" applyFill="1" applyBorder="1"/>
    <xf numFmtId="0" fontId="285" fillId="62" borderId="0" xfId="0" applyFont="1" applyFill="1" applyBorder="1"/>
    <xf numFmtId="0" fontId="260" fillId="62" borderId="0" xfId="0" applyFont="1" applyFill="1"/>
    <xf numFmtId="0" fontId="92" fillId="62" borderId="0" xfId="0" applyFont="1" applyFill="1"/>
    <xf numFmtId="0" fontId="0" fillId="62" borderId="81" xfId="0" applyFill="1" applyBorder="1"/>
    <xf numFmtId="0" fontId="46" fillId="62" borderId="81" xfId="0" applyFont="1" applyFill="1" applyBorder="1"/>
    <xf numFmtId="0" fontId="121" fillId="62" borderId="81" xfId="0" quotePrefix="1" applyFont="1" applyFill="1" applyBorder="1"/>
    <xf numFmtId="0" fontId="121" fillId="62" borderId="81" xfId="0" applyFont="1" applyFill="1" applyBorder="1"/>
    <xf numFmtId="0" fontId="46" fillId="62" borderId="81" xfId="0" applyFont="1" applyFill="1" applyBorder="1" applyAlignment="1">
      <alignment horizontal="center"/>
    </xf>
    <xf numFmtId="0" fontId="285" fillId="62" borderId="81" xfId="0" applyFont="1" applyFill="1" applyBorder="1"/>
    <xf numFmtId="0" fontId="285" fillId="62" borderId="0" xfId="0" applyFont="1" applyFill="1"/>
    <xf numFmtId="0" fontId="154" fillId="62" borderId="0" xfId="0" applyFont="1" applyFill="1"/>
    <xf numFmtId="0" fontId="117" fillId="62" borderId="0" xfId="0" applyFont="1" applyFill="1" applyBorder="1"/>
    <xf numFmtId="0" fontId="0" fillId="62" borderId="35" xfId="0" applyFill="1" applyBorder="1"/>
    <xf numFmtId="0" fontId="0" fillId="62" borderId="81" xfId="0" applyFill="1" applyBorder="1" applyAlignment="1">
      <alignment vertical="center"/>
    </xf>
    <xf numFmtId="167" fontId="286" fillId="62" borderId="81" xfId="0" applyNumberFormat="1" applyFont="1" applyFill="1" applyBorder="1" applyAlignment="1">
      <alignment horizontal="center" vertical="center"/>
    </xf>
    <xf numFmtId="167" fontId="183" fillId="62" borderId="81" xfId="0" applyNumberFormat="1" applyFont="1" applyFill="1" applyBorder="1" applyAlignment="1">
      <alignment horizontal="center" vertical="center"/>
    </xf>
    <xf numFmtId="0" fontId="0" fillId="62" borderId="0" xfId="0" applyFill="1" applyAlignment="1">
      <alignment vertical="center"/>
    </xf>
    <xf numFmtId="0" fontId="287" fillId="62" borderId="81" xfId="0" quotePrefix="1" applyFont="1" applyFill="1" applyBorder="1" applyAlignment="1">
      <alignment vertical="center"/>
    </xf>
    <xf numFmtId="167" fontId="46" fillId="62" borderId="81" xfId="0" applyNumberFormat="1" applyFont="1" applyFill="1" applyBorder="1" applyAlignment="1">
      <alignment horizontal="center" vertical="center"/>
    </xf>
    <xf numFmtId="0" fontId="105" fillId="62" borderId="0" xfId="0" applyFont="1" applyFill="1" applyBorder="1" applyAlignment="1">
      <alignment horizontal="left" vertical="center"/>
    </xf>
    <xf numFmtId="0" fontId="99" fillId="63" borderId="35" xfId="0" applyFont="1" applyFill="1" applyBorder="1"/>
    <xf numFmtId="0" fontId="46" fillId="63" borderId="35" xfId="0" applyFont="1" applyFill="1" applyBorder="1"/>
    <xf numFmtId="0" fontId="46" fillId="63" borderId="35" xfId="0" applyFont="1" applyFill="1" applyBorder="1" applyAlignment="1">
      <alignment horizontal="left"/>
    </xf>
    <xf numFmtId="0" fontId="99" fillId="63" borderId="35" xfId="0" applyFont="1" applyFill="1" applyBorder="1" applyAlignment="1">
      <alignment horizontal="left"/>
    </xf>
    <xf numFmtId="0" fontId="46" fillId="63" borderId="35" xfId="0" applyFont="1" applyFill="1" applyBorder="1" applyAlignment="1">
      <alignment horizontal="center"/>
    </xf>
    <xf numFmtId="0" fontId="99" fillId="63" borderId="35" xfId="0" applyFont="1" applyFill="1" applyBorder="1" applyAlignment="1">
      <alignment horizontal="center"/>
    </xf>
    <xf numFmtId="0" fontId="0" fillId="63" borderId="35" xfId="0" applyFill="1" applyBorder="1"/>
    <xf numFmtId="0" fontId="0" fillId="63" borderId="35" xfId="0" applyFill="1" applyBorder="1" applyAlignment="1">
      <alignment horizontal="left"/>
    </xf>
    <xf numFmtId="1" fontId="46" fillId="63" borderId="35" xfId="427" applyNumberFormat="1" applyFont="1" applyFill="1" applyBorder="1" applyAlignment="1">
      <alignment horizontal="center"/>
    </xf>
    <xf numFmtId="1" fontId="99" fillId="63" borderId="35" xfId="427" applyNumberFormat="1" applyFont="1" applyFill="1" applyBorder="1" applyAlignment="1">
      <alignment horizontal="center"/>
    </xf>
    <xf numFmtId="0" fontId="99" fillId="62" borderId="15" xfId="435" applyFont="1" applyFill="1" applyBorder="1" applyAlignment="1">
      <alignment horizontal="center"/>
    </xf>
    <xf numFmtId="167" fontId="99" fillId="62" borderId="35" xfId="427" applyNumberFormat="1" applyFont="1" applyFill="1" applyBorder="1" applyAlignment="1">
      <alignment horizontal="center"/>
    </xf>
    <xf numFmtId="0" fontId="99" fillId="62" borderId="0" xfId="435" applyFont="1" applyFill="1" applyBorder="1" applyAlignment="1">
      <alignment horizontal="center"/>
    </xf>
    <xf numFmtId="167" fontId="99" fillId="62" borderId="0" xfId="427" applyNumberFormat="1" applyFont="1" applyFill="1" applyBorder="1" applyAlignment="1">
      <alignment horizontal="center"/>
    </xf>
    <xf numFmtId="0" fontId="0" fillId="62" borderId="19" xfId="0" applyFill="1" applyBorder="1"/>
    <xf numFmtId="0" fontId="44" fillId="62" borderId="0" xfId="428" applyFont="1" applyFill="1" applyBorder="1"/>
    <xf numFmtId="0" fontId="94" fillId="62" borderId="0" xfId="442" applyFont="1" applyFill="1"/>
    <xf numFmtId="0" fontId="99" fillId="62" borderId="0" xfId="435" applyFont="1" applyFill="1"/>
    <xf numFmtId="0" fontId="99" fillId="62" borderId="0" xfId="0" applyFont="1" applyFill="1"/>
    <xf numFmtId="0" fontId="126" fillId="62" borderId="18" xfId="428" applyFont="1" applyFill="1" applyBorder="1"/>
    <xf numFmtId="0" fontId="99" fillId="62" borderId="18" xfId="0" applyFont="1" applyFill="1" applyBorder="1"/>
    <xf numFmtId="0" fontId="116" fillId="62" borderId="0" xfId="0" applyFont="1" applyFill="1"/>
    <xf numFmtId="0" fontId="99" fillId="62" borderId="17" xfId="435" applyFont="1" applyFill="1" applyBorder="1"/>
    <xf numFmtId="0" fontId="99" fillId="62" borderId="16" xfId="435" applyFont="1" applyFill="1" applyBorder="1"/>
    <xf numFmtId="2" fontId="99" fillId="62" borderId="0" xfId="435" applyNumberFormat="1" applyFont="1" applyFill="1" applyBorder="1"/>
    <xf numFmtId="171" fontId="99" fillId="62" borderId="0" xfId="435" applyNumberFormat="1" applyFont="1" applyFill="1" applyBorder="1"/>
    <xf numFmtId="0" fontId="99" fillId="62" borderId="0" xfId="435" applyNumberFormat="1" applyFont="1" applyFill="1" applyBorder="1" applyAlignment="1">
      <alignment horizontal="center"/>
    </xf>
    <xf numFmtId="167" fontId="99" fillId="62" borderId="0" xfId="427" applyNumberFormat="1" applyFont="1" applyFill="1" applyBorder="1" applyAlignment="1">
      <alignment horizontal="left"/>
    </xf>
    <xf numFmtId="0" fontId="0" fillId="62" borderId="21" xfId="0" applyFont="1" applyFill="1" applyBorder="1"/>
    <xf numFmtId="0" fontId="108" fillId="62" borderId="0" xfId="435" applyFont="1" applyFill="1" applyBorder="1" applyAlignment="1">
      <alignment horizontal="left"/>
    </xf>
    <xf numFmtId="0" fontId="99" fillId="62" borderId="0" xfId="435" quotePrefix="1" applyFont="1" applyFill="1" applyBorder="1" applyAlignment="1">
      <alignment horizontal="center"/>
    </xf>
    <xf numFmtId="14" fontId="99" fillId="62" borderId="0" xfId="435" applyNumberFormat="1" applyFont="1" applyFill="1" applyBorder="1" applyAlignment="1">
      <alignment horizontal="right"/>
    </xf>
    <xf numFmtId="1" fontId="99" fillId="62" borderId="35" xfId="427" applyNumberFormat="1" applyFont="1" applyFill="1" applyBorder="1" applyAlignment="1">
      <alignment horizontal="center"/>
    </xf>
    <xf numFmtId="0" fontId="137" fillId="62" borderId="0" xfId="428" applyFont="1" applyFill="1" applyBorder="1"/>
    <xf numFmtId="167" fontId="99" fillId="62" borderId="0" xfId="435" applyNumberFormat="1" applyFont="1" applyFill="1" applyBorder="1"/>
    <xf numFmtId="167" fontId="46" fillId="62" borderId="0" xfId="427" applyNumberFormat="1" applyFont="1" applyFill="1" applyBorder="1" applyAlignment="1">
      <alignment horizontal="left"/>
    </xf>
    <xf numFmtId="0" fontId="99" fillId="62" borderId="0" xfId="435" applyFont="1" applyFill="1" applyBorder="1" applyAlignment="1">
      <alignment horizontal="center" vertical="top" wrapText="1"/>
    </xf>
    <xf numFmtId="0" fontId="116" fillId="62" borderId="18" xfId="435" applyFont="1" applyFill="1" applyBorder="1"/>
    <xf numFmtId="0" fontId="116" fillId="62" borderId="19" xfId="435" applyFont="1" applyFill="1" applyBorder="1"/>
    <xf numFmtId="0" fontId="239" fillId="62" borderId="0" xfId="0" applyFont="1" applyFill="1"/>
    <xf numFmtId="0" fontId="99" fillId="62" borderId="0" xfId="0" applyFont="1" applyFill="1" applyBorder="1" applyAlignment="1"/>
    <xf numFmtId="4" fontId="99" fillId="62" borderId="0" xfId="0" applyNumberFormat="1" applyFont="1" applyFill="1" applyBorder="1" applyAlignment="1"/>
    <xf numFmtId="0" fontId="0" fillId="62" borderId="20" xfId="0" applyFont="1" applyFill="1" applyBorder="1"/>
    <xf numFmtId="0" fontId="0" fillId="62" borderId="17" xfId="0" applyFont="1" applyFill="1" applyBorder="1"/>
    <xf numFmtId="170" fontId="149" fillId="62" borderId="0" xfId="0" applyNumberFormat="1" applyFont="1" applyFill="1" applyBorder="1"/>
    <xf numFmtId="0" fontId="0" fillId="62" borderId="0" xfId="0" applyFill="1" applyAlignment="1">
      <alignment wrapText="1"/>
    </xf>
    <xf numFmtId="0" fontId="99" fillId="64" borderId="35" xfId="0" applyFont="1" applyFill="1" applyBorder="1" applyAlignment="1"/>
    <xf numFmtId="2" fontId="99" fillId="64" borderId="35" xfId="0" applyNumberFormat="1" applyFont="1" applyFill="1" applyBorder="1" applyAlignment="1">
      <alignment horizontal="center"/>
    </xf>
    <xf numFmtId="14" fontId="99" fillId="64" borderId="35" xfId="0" applyNumberFormat="1" applyFont="1" applyFill="1" applyBorder="1" applyAlignment="1">
      <alignment horizontal="center"/>
    </xf>
    <xf numFmtId="0" fontId="99" fillId="64" borderId="35" xfId="0" applyFont="1" applyFill="1" applyBorder="1" applyAlignment="1">
      <alignment horizontal="center"/>
    </xf>
    <xf numFmtId="4" fontId="99" fillId="64" borderId="35" xfId="0" applyNumberFormat="1" applyFont="1" applyFill="1" applyBorder="1" applyAlignment="1">
      <alignment horizontal="center"/>
    </xf>
    <xf numFmtId="167" fontId="99" fillId="64" borderId="35" xfId="427" applyNumberFormat="1" applyFont="1" applyFill="1" applyBorder="1" applyAlignment="1">
      <alignment horizontal="left"/>
    </xf>
    <xf numFmtId="167" fontId="99" fillId="64" borderId="35" xfId="427" applyNumberFormat="1" applyFont="1" applyFill="1" applyBorder="1" applyAlignment="1">
      <alignment horizontal="center"/>
    </xf>
    <xf numFmtId="14" fontId="0" fillId="64" borderId="35" xfId="0" applyNumberFormat="1" applyFont="1" applyFill="1" applyBorder="1" applyAlignment="1">
      <alignment horizontal="center"/>
    </xf>
    <xf numFmtId="1" fontId="0" fillId="64" borderId="35" xfId="0" applyNumberFormat="1" applyFont="1" applyFill="1" applyBorder="1" applyAlignment="1">
      <alignment horizontal="center"/>
    </xf>
    <xf numFmtId="1" fontId="99" fillId="64" borderId="35" xfId="427" applyNumberFormat="1" applyFont="1" applyFill="1" applyBorder="1" applyAlignment="1">
      <alignment horizontal="center"/>
    </xf>
    <xf numFmtId="170" fontId="99" fillId="64" borderId="35" xfId="427" applyNumberFormat="1" applyFont="1" applyFill="1" applyBorder="1" applyAlignment="1">
      <alignment horizontal="center"/>
    </xf>
    <xf numFmtId="1" fontId="46" fillId="64" borderId="35" xfId="427" applyNumberFormat="1" applyFont="1" applyFill="1" applyBorder="1" applyAlignment="1">
      <alignment horizontal="center"/>
    </xf>
    <xf numFmtId="0" fontId="149" fillId="62" borderId="0" xfId="0" applyFont="1" applyFill="1" applyBorder="1"/>
    <xf numFmtId="0" fontId="99" fillId="62" borderId="18" xfId="0" applyFont="1" applyFill="1" applyBorder="1" applyAlignment="1"/>
    <xf numFmtId="4" fontId="99" fillId="62" borderId="18" xfId="0" applyNumberFormat="1" applyFont="1" applyFill="1" applyBorder="1" applyAlignment="1"/>
    <xf numFmtId="0" fontId="98" fillId="62" borderId="18" xfId="0" applyFont="1" applyFill="1" applyBorder="1" applyAlignment="1"/>
    <xf numFmtId="0" fontId="122" fillId="0" borderId="0" xfId="432" applyFont="1" applyFill="1" applyBorder="1"/>
    <xf numFmtId="0" fontId="122" fillId="0" borderId="0" xfId="0" applyFont="1" applyFill="1" applyBorder="1" applyAlignment="1">
      <alignment horizontal="left"/>
    </xf>
    <xf numFmtId="0" fontId="8" fillId="0" borderId="0" xfId="435" applyFont="1" applyFill="1" applyBorder="1" applyAlignment="1">
      <alignment horizontal="left"/>
    </xf>
    <xf numFmtId="167" fontId="46" fillId="64" borderId="35" xfId="427" applyNumberFormat="1" applyFont="1" applyFill="1" applyBorder="1" applyAlignment="1">
      <alignment horizontal="left"/>
    </xf>
    <xf numFmtId="167" fontId="99" fillId="64" borderId="38" xfId="427" applyNumberFormat="1" applyFont="1" applyFill="1" applyBorder="1" applyAlignment="1">
      <alignment horizontal="center"/>
    </xf>
    <xf numFmtId="178" fontId="99" fillId="64" borderId="35" xfId="427" applyNumberFormat="1" applyFont="1" applyFill="1" applyBorder="1" applyAlignment="1">
      <alignment horizontal="center"/>
    </xf>
    <xf numFmtId="171" fontId="99" fillId="64" borderId="35" xfId="427" applyNumberFormat="1" applyFont="1" applyFill="1" applyBorder="1" applyAlignment="1">
      <alignment horizontal="center"/>
    </xf>
    <xf numFmtId="1" fontId="46" fillId="64" borderId="38" xfId="427" applyNumberFormat="1" applyFont="1" applyFill="1" applyBorder="1" applyAlignment="1">
      <alignment horizontal="center"/>
    </xf>
    <xf numFmtId="0" fontId="46" fillId="64" borderId="35" xfId="435" applyNumberFormat="1" applyFont="1" applyFill="1" applyBorder="1" applyAlignment="1">
      <alignment horizontal="center"/>
    </xf>
    <xf numFmtId="0" fontId="99" fillId="64" borderId="35" xfId="0" applyFont="1" applyFill="1" applyBorder="1"/>
    <xf numFmtId="0" fontId="46" fillId="64" borderId="35" xfId="0" applyFont="1" applyFill="1" applyBorder="1"/>
    <xf numFmtId="0" fontId="0" fillId="64" borderId="35" xfId="0" applyFill="1" applyBorder="1"/>
    <xf numFmtId="0" fontId="265" fillId="0" borderId="21" xfId="435" applyFont="1" applyFill="1" applyBorder="1"/>
    <xf numFmtId="0" fontId="227" fillId="0" borderId="21" xfId="435" applyFont="1" applyFill="1" applyBorder="1"/>
    <xf numFmtId="0" fontId="265" fillId="0" borderId="0" xfId="435" applyFont="1" applyFill="1" applyBorder="1" applyAlignment="1">
      <alignment horizontal="center"/>
    </xf>
    <xf numFmtId="167" fontId="251" fillId="64" borderId="35" xfId="435" applyNumberFormat="1" applyFont="1" applyFill="1" applyBorder="1" applyAlignment="1">
      <alignment horizontal="center"/>
    </xf>
    <xf numFmtId="167" fontId="46" fillId="64" borderId="35" xfId="435" applyNumberFormat="1" applyFont="1" applyFill="1" applyBorder="1" applyAlignment="1">
      <alignment horizontal="center"/>
    </xf>
    <xf numFmtId="14" fontId="46" fillId="0" borderId="0" xfId="435" applyNumberFormat="1" applyFont="1" applyFill="1" applyBorder="1" applyAlignment="1">
      <alignment horizontal="left" vertical="center"/>
    </xf>
    <xf numFmtId="14" fontId="99" fillId="0" borderId="0" xfId="435" applyNumberFormat="1" applyFont="1" applyFill="1" applyBorder="1" applyAlignment="1">
      <alignment horizontal="left" vertical="center"/>
    </xf>
    <xf numFmtId="167" fontId="249" fillId="64" borderId="35" xfId="435" applyNumberFormat="1" applyFont="1" applyFill="1" applyBorder="1" applyAlignment="1">
      <alignment horizontal="center"/>
    </xf>
    <xf numFmtId="0" fontId="80" fillId="0" borderId="0" xfId="428" applyFont="1" applyFill="1" applyBorder="1"/>
    <xf numFmtId="170" fontId="46" fillId="64" borderId="35" xfId="427" applyNumberFormat="1" applyFont="1" applyFill="1" applyBorder="1" applyAlignment="1">
      <alignment horizontal="center"/>
    </xf>
    <xf numFmtId="0" fontId="90" fillId="62" borderId="0" xfId="427" applyFont="1" applyFill="1"/>
    <xf numFmtId="0" fontId="104" fillId="62" borderId="0" xfId="427" applyFont="1" applyFill="1"/>
    <xf numFmtId="0" fontId="119" fillId="62" borderId="0" xfId="427" applyFont="1" applyFill="1"/>
    <xf numFmtId="0" fontId="119" fillId="62" borderId="0" xfId="427" applyFont="1" applyFill="1" applyBorder="1"/>
    <xf numFmtId="0" fontId="104" fillId="62" borderId="0" xfId="427" applyFont="1" applyFill="1" applyBorder="1"/>
    <xf numFmtId="0" fontId="94" fillId="62" borderId="0" xfId="427" applyFont="1" applyFill="1" applyBorder="1" applyAlignment="1">
      <alignment horizontal="center" vertical="center"/>
    </xf>
    <xf numFmtId="0" fontId="54" fillId="62" borderId="0" xfId="427" applyFont="1" applyFill="1" applyBorder="1"/>
    <xf numFmtId="0" fontId="175" fillId="62" borderId="0" xfId="428" applyFont="1" applyFill="1" applyBorder="1"/>
    <xf numFmtId="0" fontId="54" fillId="62" borderId="0" xfId="427" applyFont="1" applyFill="1" applyBorder="1" applyAlignment="1">
      <alignment horizontal="center"/>
    </xf>
    <xf numFmtId="0" fontId="144" fillId="62" borderId="0" xfId="427" applyFont="1" applyFill="1" applyBorder="1"/>
    <xf numFmtId="0" fontId="76" fillId="62" borderId="0" xfId="427" applyFont="1" applyFill="1" applyBorder="1"/>
    <xf numFmtId="0" fontId="143" fillId="62" borderId="0" xfId="427" applyFont="1" applyFill="1" applyBorder="1"/>
    <xf numFmtId="0" fontId="288" fillId="62" borderId="0" xfId="427" applyFont="1" applyFill="1" applyBorder="1" applyAlignment="1">
      <alignment horizontal="center"/>
    </xf>
    <xf numFmtId="2" fontId="289" fillId="62" borderId="0" xfId="427" quotePrefix="1" applyNumberFormat="1" applyFont="1" applyFill="1" applyBorder="1" applyAlignment="1">
      <alignment horizontal="center" vertical="center"/>
    </xf>
    <xf numFmtId="0" fontId="290" fillId="62" borderId="0" xfId="427" applyFont="1" applyFill="1" applyBorder="1" applyAlignment="1">
      <alignment horizontal="center"/>
    </xf>
    <xf numFmtId="2" fontId="289" fillId="62" borderId="0" xfId="427" quotePrefix="1" applyNumberFormat="1" applyFont="1" applyFill="1" applyBorder="1" applyAlignment="1">
      <alignment horizontal="left" vertical="center"/>
    </xf>
    <xf numFmtId="0" fontId="290" fillId="62" borderId="0" xfId="427" applyFont="1" applyFill="1" applyBorder="1"/>
    <xf numFmtId="0" fontId="291" fillId="62" borderId="0" xfId="427" quotePrefix="1" applyFont="1" applyFill="1" applyBorder="1"/>
    <xf numFmtId="0" fontId="126" fillId="62" borderId="0" xfId="0" applyFont="1" applyFill="1" applyBorder="1" applyAlignment="1">
      <alignment horizontal="left" vertical="center"/>
    </xf>
    <xf numFmtId="0" fontId="104" fillId="62" borderId="0" xfId="0" applyFont="1" applyFill="1"/>
    <xf numFmtId="167" fontId="46" fillId="64" borderId="35" xfId="427" applyNumberFormat="1" applyFont="1" applyFill="1" applyBorder="1" applyAlignment="1">
      <alignment horizontal="center"/>
    </xf>
    <xf numFmtId="1" fontId="46" fillId="64" borderId="35" xfId="442" applyNumberFormat="1" applyFont="1" applyFill="1" applyBorder="1" applyAlignment="1">
      <alignment horizontal="center"/>
    </xf>
    <xf numFmtId="0" fontId="99" fillId="64" borderId="35" xfId="442" applyFont="1" applyFill="1" applyBorder="1" applyAlignment="1">
      <alignment horizontal="center"/>
    </xf>
    <xf numFmtId="1" fontId="99" fillId="64" borderId="46" xfId="442" applyNumberFormat="1" applyFont="1" applyFill="1" applyBorder="1" applyAlignment="1">
      <alignment horizontal="center"/>
    </xf>
    <xf numFmtId="170" fontId="46" fillId="64" borderId="35" xfId="427" applyNumberFormat="1" applyFont="1" applyFill="1" applyBorder="1" applyAlignment="1">
      <alignment horizontal="left"/>
    </xf>
    <xf numFmtId="170" fontId="46" fillId="64" borderId="35" xfId="427" applyNumberFormat="1" applyFont="1" applyFill="1" applyBorder="1" applyAlignment="1">
      <alignment horizontal="left" vertical="top"/>
    </xf>
    <xf numFmtId="170" fontId="46" fillId="64" borderId="35" xfId="427" applyNumberFormat="1" applyFont="1" applyFill="1" applyBorder="1" applyAlignment="1">
      <alignment horizontal="center" vertical="top"/>
    </xf>
    <xf numFmtId="14" fontId="46" fillId="64" borderId="35" xfId="442" applyNumberFormat="1" applyFont="1" applyFill="1" applyBorder="1" applyAlignment="1">
      <alignment horizontal="left"/>
    </xf>
    <xf numFmtId="14" fontId="46" fillId="64" borderId="35" xfId="442" applyNumberFormat="1" applyFont="1" applyFill="1" applyBorder="1" applyAlignment="1">
      <alignment horizontal="center"/>
    </xf>
    <xf numFmtId="14" fontId="46" fillId="64" borderId="38" xfId="442" applyNumberFormat="1" applyFont="1" applyFill="1" applyBorder="1" applyAlignment="1">
      <alignment horizontal="center"/>
    </xf>
    <xf numFmtId="0" fontId="46" fillId="64" borderId="35" xfId="442" applyFont="1" applyFill="1" applyBorder="1" applyAlignment="1">
      <alignment horizontal="left"/>
    </xf>
    <xf numFmtId="0" fontId="46" fillId="64" borderId="35" xfId="442" applyNumberFormat="1" applyFont="1" applyFill="1" applyBorder="1"/>
    <xf numFmtId="22" fontId="46" fillId="64" borderId="35" xfId="442" applyNumberFormat="1" applyFont="1" applyFill="1" applyBorder="1" applyAlignment="1">
      <alignment horizontal="left"/>
    </xf>
    <xf numFmtId="0" fontId="46" fillId="64" borderId="35" xfId="442" applyFont="1" applyFill="1" applyBorder="1"/>
    <xf numFmtId="0" fontId="46" fillId="64" borderId="35" xfId="442" applyNumberFormat="1" applyFont="1" applyFill="1" applyBorder="1" applyAlignment="1">
      <alignment horizontal="left"/>
    </xf>
    <xf numFmtId="20" fontId="46" fillId="64" borderId="35" xfId="442" applyNumberFormat="1" applyFont="1" applyFill="1" applyBorder="1" applyAlignment="1">
      <alignment horizontal="left"/>
    </xf>
    <xf numFmtId="170" fontId="46" fillId="64" borderId="35" xfId="442" applyNumberFormat="1" applyFont="1" applyFill="1" applyBorder="1" applyAlignment="1">
      <alignment horizontal="center"/>
    </xf>
    <xf numFmtId="0" fontId="46" fillId="64" borderId="35" xfId="442" applyFont="1" applyFill="1" applyBorder="1" applyAlignment="1">
      <alignment horizontal="center"/>
    </xf>
    <xf numFmtId="14" fontId="46" fillId="64" borderId="35" xfId="442" applyNumberFormat="1" applyFont="1" applyFill="1" applyBorder="1"/>
    <xf numFmtId="178" fontId="46" fillId="64" borderId="35" xfId="442" applyNumberFormat="1" applyFont="1" applyFill="1" applyBorder="1" applyAlignment="1">
      <alignment horizontal="center"/>
    </xf>
    <xf numFmtId="0" fontId="46" fillId="0" borderId="40" xfId="442" applyFont="1" applyFill="1" applyBorder="1" applyAlignment="1">
      <alignment horizontal="center"/>
    </xf>
    <xf numFmtId="0" fontId="46" fillId="0" borderId="34" xfId="442" applyFont="1" applyFill="1" applyBorder="1" applyAlignment="1">
      <alignment horizontal="center"/>
    </xf>
    <xf numFmtId="0" fontId="46" fillId="0" borderId="39" xfId="442" applyFont="1" applyFill="1" applyBorder="1" applyAlignment="1">
      <alignment horizontal="center"/>
    </xf>
    <xf numFmtId="0" fontId="90" fillId="64" borderId="40" xfId="442" applyFont="1" applyFill="1" applyBorder="1" applyAlignment="1">
      <alignment horizontal="center"/>
    </xf>
    <xf numFmtId="0" fontId="0" fillId="64" borderId="35" xfId="0" applyFill="1" applyBorder="1" applyAlignment="1">
      <alignment horizontal="center"/>
    </xf>
    <xf numFmtId="0" fontId="46" fillId="0" borderId="38" xfId="427" applyFont="1" applyFill="1" applyBorder="1"/>
    <xf numFmtId="2" fontId="287" fillId="0" borderId="0" xfId="0" applyNumberFormat="1" applyFont="1" applyFill="1" applyBorder="1" applyAlignment="1">
      <alignment horizontal="center"/>
    </xf>
    <xf numFmtId="2" fontId="287" fillId="0" borderId="18" xfId="0" applyNumberFormat="1" applyFont="1" applyFill="1" applyBorder="1" applyAlignment="1">
      <alignment horizontal="center"/>
    </xf>
    <xf numFmtId="168" fontId="46" fillId="0" borderId="0" xfId="442" applyNumberFormat="1" applyFont="1" applyFill="1" applyBorder="1" applyAlignment="1">
      <alignment horizontal="center"/>
    </xf>
    <xf numFmtId="0" fontId="46" fillId="62" borderId="0" xfId="442" applyFont="1" applyFill="1" applyBorder="1" applyAlignment="1">
      <alignment horizontal="center"/>
    </xf>
    <xf numFmtId="168" fontId="50" fillId="0" borderId="21" xfId="442" applyNumberFormat="1" applyFont="1" applyFill="1" applyBorder="1" applyAlignment="1">
      <alignment horizontal="center"/>
    </xf>
    <xf numFmtId="168" fontId="46" fillId="0" borderId="21" xfId="442" applyNumberFormat="1" applyFont="1" applyFill="1" applyBorder="1" applyAlignment="1">
      <alignment horizontal="center"/>
    </xf>
    <xf numFmtId="168" fontId="50" fillId="0" borderId="20" xfId="442" applyNumberFormat="1" applyFont="1" applyFill="1" applyBorder="1" applyAlignment="1">
      <alignment horizontal="center"/>
    </xf>
    <xf numFmtId="0" fontId="46" fillId="0" borderId="18" xfId="442" applyNumberFormat="1" applyFont="1" applyFill="1" applyBorder="1" applyAlignment="1">
      <alignment horizontal="center"/>
    </xf>
    <xf numFmtId="0" fontId="234" fillId="0" borderId="0" xfId="0" applyFont="1" applyFill="1" applyBorder="1" applyAlignment="1">
      <alignment horizontal="center"/>
    </xf>
    <xf numFmtId="0" fontId="234" fillId="0" borderId="19" xfId="0" applyFont="1" applyFill="1" applyBorder="1" applyAlignment="1">
      <alignment horizontal="center"/>
    </xf>
    <xf numFmtId="167" fontId="46" fillId="0" borderId="18" xfId="442" applyNumberFormat="1" applyFont="1" applyFill="1" applyBorder="1" applyAlignment="1">
      <alignment horizontal="center"/>
    </xf>
    <xf numFmtId="168" fontId="50" fillId="0" borderId="22" xfId="442" applyNumberFormat="1" applyFont="1" applyFill="1" applyBorder="1" applyAlignment="1">
      <alignment horizontal="center"/>
    </xf>
    <xf numFmtId="168" fontId="46" fillId="0" borderId="15" xfId="442" applyNumberFormat="1" applyFont="1" applyFill="1" applyBorder="1" applyAlignment="1">
      <alignment horizontal="center"/>
    </xf>
    <xf numFmtId="0" fontId="242" fillId="0" borderId="20" xfId="437" quotePrefix="1" applyFont="1" applyFill="1" applyBorder="1"/>
    <xf numFmtId="0" fontId="292" fillId="62" borderId="0" xfId="0" applyFont="1" applyFill="1"/>
    <xf numFmtId="0" fontId="261" fillId="62" borderId="0" xfId="0" applyFont="1" applyFill="1"/>
    <xf numFmtId="0" fontId="46" fillId="62" borderId="0" xfId="0" applyFont="1" applyFill="1"/>
    <xf numFmtId="0" fontId="0" fillId="62" borderId="0" xfId="0" quotePrefix="1" applyFill="1" applyBorder="1"/>
    <xf numFmtId="2" fontId="0" fillId="62" borderId="21" xfId="0" applyNumberFormat="1" applyFill="1" applyBorder="1" applyAlignment="1">
      <alignment horizontal="center"/>
    </xf>
    <xf numFmtId="0" fontId="121" fillId="62" borderId="21" xfId="0" applyFont="1" applyFill="1" applyBorder="1"/>
    <xf numFmtId="167" fontId="46" fillId="64" borderId="38" xfId="427" applyNumberFormat="1" applyFont="1" applyFill="1" applyBorder="1" applyAlignment="1">
      <alignment horizontal="left"/>
    </xf>
    <xf numFmtId="2" fontId="121" fillId="0" borderId="21" xfId="0" applyNumberFormat="1" applyFont="1" applyFill="1" applyBorder="1" applyAlignment="1">
      <alignment horizontal="center"/>
    </xf>
    <xf numFmtId="2" fontId="99" fillId="0" borderId="21" xfId="0" applyNumberFormat="1" applyFont="1" applyFill="1" applyBorder="1" applyAlignment="1">
      <alignment horizontal="center"/>
    </xf>
    <xf numFmtId="2" fontId="50" fillId="0" borderId="21" xfId="0" applyNumberFormat="1" applyFont="1" applyFill="1" applyBorder="1"/>
    <xf numFmtId="0" fontId="112" fillId="62" borderId="0" xfId="427" applyFont="1" applyFill="1"/>
    <xf numFmtId="0" fontId="112" fillId="62" borderId="0" xfId="427" quotePrefix="1" applyFont="1" applyFill="1"/>
    <xf numFmtId="167" fontId="0" fillId="62" borderId="0" xfId="0" applyNumberFormat="1" applyFill="1"/>
    <xf numFmtId="0" fontId="126" fillId="62" borderId="0" xfId="429" applyFont="1" applyFill="1" applyBorder="1"/>
    <xf numFmtId="0" fontId="114" fillId="62" borderId="0" xfId="0" applyFont="1" applyFill="1"/>
    <xf numFmtId="0" fontId="98" fillId="62" borderId="0" xfId="0" applyFont="1" applyFill="1"/>
    <xf numFmtId="0" fontId="99" fillId="62" borderId="0" xfId="436" applyFont="1" applyFill="1"/>
    <xf numFmtId="0" fontId="0" fillId="62" borderId="0" xfId="0" applyFill="1" applyAlignment="1">
      <alignment horizontal="left"/>
    </xf>
    <xf numFmtId="0" fontId="99" fillId="62" borderId="0" xfId="436" applyFont="1" applyFill="1" applyBorder="1"/>
    <xf numFmtId="14" fontId="0" fillId="62" borderId="0" xfId="0" applyNumberFormat="1" applyFill="1" applyBorder="1"/>
    <xf numFmtId="167" fontId="0" fillId="62" borderId="0" xfId="0" applyNumberFormat="1" applyFill="1" applyBorder="1"/>
    <xf numFmtId="14" fontId="0" fillId="62" borderId="15" xfId="0" applyNumberFormat="1" applyFill="1" applyBorder="1"/>
    <xf numFmtId="167" fontId="0" fillId="62" borderId="15" xfId="0" applyNumberFormat="1" applyFill="1" applyBorder="1"/>
    <xf numFmtId="0" fontId="50" fillId="62" borderId="0" xfId="429" applyFont="1" applyFill="1" applyBorder="1" applyAlignment="1">
      <alignment horizontal="left"/>
    </xf>
    <xf numFmtId="14" fontId="0" fillId="62" borderId="0" xfId="0" applyNumberFormat="1" applyFill="1"/>
    <xf numFmtId="170" fontId="0" fillId="64" borderId="35" xfId="0" applyNumberFormat="1" applyFill="1" applyBorder="1" applyAlignment="1">
      <alignment horizontal="center"/>
    </xf>
    <xf numFmtId="170" fontId="0" fillId="64" borderId="46" xfId="0" applyNumberFormat="1" applyFill="1" applyBorder="1" applyAlignment="1">
      <alignment horizontal="center"/>
    </xf>
    <xf numFmtId="0" fontId="0" fillId="64" borderId="35" xfId="0" applyFill="1" applyBorder="1" applyAlignment="1"/>
    <xf numFmtId="0" fontId="90" fillId="62" borderId="0" xfId="442" applyFont="1" applyFill="1"/>
    <xf numFmtId="0" fontId="104" fillId="62" borderId="0" xfId="442" applyFont="1" applyFill="1"/>
    <xf numFmtId="0" fontId="95" fillId="62" borderId="0" xfId="427" applyFont="1" applyFill="1"/>
    <xf numFmtId="0" fontId="113" fillId="62" borderId="0" xfId="427" applyFont="1" applyFill="1" applyAlignment="1"/>
    <xf numFmtId="0" fontId="99" fillId="62" borderId="0" xfId="442" applyFont="1" applyFill="1"/>
    <xf numFmtId="0" fontId="46" fillId="62" borderId="0" xfId="442" applyFont="1" applyFill="1" applyBorder="1"/>
    <xf numFmtId="1" fontId="46" fillId="62" borderId="0" xfId="442" applyNumberFormat="1" applyFont="1" applyFill="1" applyBorder="1" applyAlignment="1">
      <alignment horizontal="center"/>
    </xf>
    <xf numFmtId="0" fontId="109" fillId="62" borderId="0" xfId="427" applyFont="1" applyFill="1" applyAlignment="1"/>
    <xf numFmtId="0" fontId="90" fillId="62" borderId="0" xfId="427" applyFont="1" applyFill="1" applyAlignment="1"/>
    <xf numFmtId="0" fontId="104" fillId="62" borderId="34" xfId="442" applyFont="1" applyFill="1" applyBorder="1"/>
    <xf numFmtId="0" fontId="104" fillId="62" borderId="0" xfId="442" applyFont="1" applyFill="1" applyAlignment="1">
      <alignment horizontal="center"/>
    </xf>
    <xf numFmtId="0" fontId="104" fillId="62" borderId="34" xfId="442" applyFont="1" applyFill="1" applyBorder="1" applyAlignment="1">
      <alignment horizontal="center"/>
    </xf>
    <xf numFmtId="0" fontId="54" fillId="62" borderId="0" xfId="442" applyFont="1" applyFill="1"/>
    <xf numFmtId="0" fontId="99" fillId="62" borderId="15" xfId="442" applyFont="1" applyFill="1" applyBorder="1"/>
    <xf numFmtId="0" fontId="104" fillId="62" borderId="0" xfId="442" applyFont="1" applyFill="1" applyBorder="1"/>
    <xf numFmtId="14" fontId="99" fillId="62" borderId="0" xfId="442" applyNumberFormat="1" applyFont="1" applyFill="1" applyBorder="1"/>
    <xf numFmtId="0" fontId="99" fillId="62" borderId="0" xfId="442" applyFont="1" applyFill="1" applyBorder="1"/>
    <xf numFmtId="0" fontId="124" fillId="62" borderId="0" xfId="442" applyFont="1" applyFill="1"/>
    <xf numFmtId="0" fontId="98" fillId="62" borderId="0" xfId="442" applyFont="1" applyFill="1"/>
    <xf numFmtId="0" fontId="104" fillId="62" borderId="0" xfId="442" applyFont="1" applyFill="1" applyAlignment="1">
      <alignment vertical="top" wrapText="1"/>
    </xf>
    <xf numFmtId="0" fontId="99" fillId="62" borderId="0" xfId="442" applyFont="1" applyFill="1" applyAlignment="1">
      <alignment vertical="top" wrapText="1"/>
    </xf>
    <xf numFmtId="0" fontId="46" fillId="62" borderId="0" xfId="442" applyFont="1" applyFill="1"/>
    <xf numFmtId="0" fontId="285" fillId="62" borderId="0" xfId="0" quotePrefix="1" applyFont="1" applyFill="1"/>
    <xf numFmtId="0" fontId="0" fillId="62" borderId="82" xfId="0" applyFill="1" applyBorder="1"/>
    <xf numFmtId="0" fontId="223" fillId="62" borderId="0" xfId="0" applyFont="1" applyFill="1" applyAlignment="1">
      <alignment horizontal="left"/>
    </xf>
    <xf numFmtId="0" fontId="223" fillId="62" borderId="0" xfId="0" applyFont="1" applyFill="1" applyBorder="1" applyAlignment="1">
      <alignment horizontal="left"/>
    </xf>
    <xf numFmtId="0" fontId="118" fillId="62" borderId="0" xfId="428" applyFont="1" applyFill="1" applyBorder="1"/>
    <xf numFmtId="0" fontId="117" fillId="62" borderId="0" xfId="428" applyFont="1" applyFill="1" applyBorder="1"/>
    <xf numFmtId="0" fontId="248" fillId="62" borderId="22" xfId="0" quotePrefix="1" applyFont="1" applyFill="1" applyBorder="1"/>
    <xf numFmtId="0" fontId="248" fillId="62" borderId="21" xfId="0" quotePrefix="1" applyFont="1" applyFill="1" applyBorder="1"/>
    <xf numFmtId="0" fontId="293" fillId="62" borderId="0" xfId="0" applyFont="1" applyFill="1" applyAlignment="1">
      <alignment vertical="top"/>
    </xf>
    <xf numFmtId="0" fontId="294" fillId="62" borderId="0" xfId="0" applyFont="1" applyFill="1"/>
    <xf numFmtId="0" fontId="99" fillId="62" borderId="0" xfId="476" applyFont="1" applyFill="1" applyBorder="1"/>
    <xf numFmtId="0" fontId="99" fillId="62" borderId="0" xfId="476" quotePrefix="1" applyFont="1" applyFill="1" applyBorder="1"/>
    <xf numFmtId="0" fontId="248" fillId="62" borderId="0" xfId="0" quotePrefix="1" applyFont="1" applyFill="1" applyBorder="1"/>
    <xf numFmtId="0" fontId="117" fillId="62" borderId="0" xfId="0" quotePrefix="1" applyFont="1" applyFill="1" applyBorder="1"/>
    <xf numFmtId="0" fontId="93" fillId="62" borderId="0" xfId="0" applyFont="1" applyFill="1"/>
    <xf numFmtId="0" fontId="0" fillId="62" borderId="21" xfId="0" quotePrefix="1" applyFill="1" applyBorder="1"/>
    <xf numFmtId="0" fontId="99" fillId="62" borderId="0" xfId="0" quotePrefix="1" applyFont="1" applyFill="1" applyBorder="1" applyAlignment="1">
      <alignment horizontal="center"/>
    </xf>
    <xf numFmtId="0" fontId="117" fillId="62" borderId="21" xfId="0" quotePrefix="1" applyFont="1" applyFill="1" applyBorder="1"/>
    <xf numFmtId="0" fontId="0" fillId="62" borderId="44" xfId="0" applyFill="1" applyBorder="1"/>
    <xf numFmtId="0" fontId="0" fillId="62" borderId="26" xfId="0" applyFill="1" applyBorder="1"/>
    <xf numFmtId="0" fontId="0" fillId="62" borderId="43" xfId="0" applyFill="1" applyBorder="1"/>
    <xf numFmtId="0" fontId="0" fillId="62" borderId="53" xfId="0" applyFill="1" applyBorder="1"/>
    <xf numFmtId="0" fontId="0" fillId="62" borderId="1" xfId="0" quotePrefix="1" applyFill="1" applyBorder="1"/>
    <xf numFmtId="0" fontId="0" fillId="62" borderId="1" xfId="0" applyFill="1" applyBorder="1"/>
    <xf numFmtId="171" fontId="0" fillId="62" borderId="1" xfId="0" applyNumberFormat="1" applyFill="1" applyBorder="1"/>
    <xf numFmtId="0" fontId="0" fillId="62" borderId="54" xfId="0" applyFill="1" applyBorder="1"/>
    <xf numFmtId="0" fontId="0" fillId="62" borderId="42" xfId="0" applyFill="1" applyBorder="1"/>
    <xf numFmtId="0" fontId="0" fillId="62" borderId="55" xfId="0" applyFill="1" applyBorder="1"/>
    <xf numFmtId="0" fontId="0" fillId="62" borderId="41" xfId="0" applyFill="1" applyBorder="1"/>
    <xf numFmtId="0" fontId="115" fillId="62" borderId="0" xfId="0" applyFont="1" applyFill="1"/>
    <xf numFmtId="0" fontId="0" fillId="62" borderId="0" xfId="0" quotePrefix="1" applyFill="1"/>
    <xf numFmtId="0" fontId="8" fillId="62" borderId="0" xfId="442" applyFont="1" applyFill="1"/>
    <xf numFmtId="0" fontId="50" fillId="62" borderId="0" xfId="428" applyFont="1" applyFill="1" applyBorder="1"/>
    <xf numFmtId="0" fontId="47" fillId="62" borderId="0" xfId="442" applyFont="1" applyFill="1"/>
    <xf numFmtId="0" fontId="34" fillId="62" borderId="0" xfId="0" applyFont="1" applyFill="1"/>
    <xf numFmtId="2" fontId="46" fillId="62" borderId="0" xfId="442" applyNumberFormat="1" applyFont="1" applyFill="1" applyBorder="1"/>
    <xf numFmtId="0" fontId="135" fillId="62" borderId="0" xfId="442" applyFont="1" applyFill="1" applyBorder="1"/>
    <xf numFmtId="0" fontId="48" fillId="62" borderId="0" xfId="442" applyFont="1" applyFill="1" applyBorder="1" applyAlignment="1">
      <alignment horizontal="center"/>
    </xf>
    <xf numFmtId="14" fontId="46" fillId="62" borderId="0" xfId="442" applyNumberFormat="1" applyFont="1" applyFill="1" applyBorder="1"/>
    <xf numFmtId="14" fontId="46" fillId="62" borderId="0" xfId="442" applyNumberFormat="1" applyFont="1" applyFill="1"/>
    <xf numFmtId="0" fontId="46" fillId="62" borderId="0" xfId="442" applyNumberFormat="1" applyFont="1" applyFill="1"/>
    <xf numFmtId="0" fontId="119" fillId="62" borderId="0" xfId="442" applyFont="1" applyFill="1"/>
    <xf numFmtId="0" fontId="46" fillId="62" borderId="45" xfId="442" applyFont="1" applyFill="1" applyBorder="1"/>
    <xf numFmtId="14" fontId="46" fillId="62" borderId="45" xfId="442" applyNumberFormat="1" applyFont="1" applyFill="1" applyBorder="1"/>
    <xf numFmtId="0" fontId="46" fillId="62" borderId="15" xfId="442" applyFont="1" applyFill="1" applyBorder="1"/>
    <xf numFmtId="14" fontId="46" fillId="62" borderId="15" xfId="442" applyNumberFormat="1" applyFont="1" applyFill="1" applyBorder="1"/>
    <xf numFmtId="14" fontId="46" fillId="62" borderId="0" xfId="442" applyNumberFormat="1" applyFont="1" applyFill="1" applyBorder="1" applyAlignment="1"/>
    <xf numFmtId="0" fontId="44" fillId="62" borderId="0" xfId="442" applyFont="1" applyFill="1"/>
    <xf numFmtId="0" fontId="47" fillId="62" borderId="0" xfId="442" applyFont="1" applyFill="1" applyBorder="1"/>
    <xf numFmtId="0" fontId="46" fillId="62" borderId="20" xfId="442" applyFont="1" applyFill="1" applyBorder="1"/>
    <xf numFmtId="0" fontId="46" fillId="62" borderId="18" xfId="442" applyFont="1" applyFill="1" applyBorder="1"/>
    <xf numFmtId="14" fontId="50" fillId="62" borderId="0" xfId="442" applyNumberFormat="1" applyFont="1" applyFill="1" applyBorder="1" applyAlignment="1"/>
    <xf numFmtId="170" fontId="46" fillId="62" borderId="0" xfId="427" applyNumberFormat="1" applyFont="1" applyFill="1" applyBorder="1" applyAlignment="1">
      <alignment horizontal="left"/>
    </xf>
    <xf numFmtId="0" fontId="133" fillId="62" borderId="0" xfId="442" applyFont="1" applyFill="1"/>
    <xf numFmtId="0" fontId="225" fillId="62" borderId="0" xfId="0" applyFont="1" applyFill="1" applyBorder="1"/>
    <xf numFmtId="2" fontId="225" fillId="62" borderId="47" xfId="0" applyNumberFormat="1" applyFont="1" applyFill="1" applyBorder="1" applyAlignment="1">
      <alignment horizontal="center"/>
    </xf>
    <xf numFmtId="2" fontId="46" fillId="62" borderId="56" xfId="442" applyNumberFormat="1" applyFont="1" applyFill="1" applyBorder="1" applyAlignment="1">
      <alignment horizontal="center"/>
    </xf>
    <xf numFmtId="14" fontId="225" fillId="62" borderId="57" xfId="0" applyNumberFormat="1" applyFont="1" applyFill="1" applyBorder="1"/>
    <xf numFmtId="2" fontId="225" fillId="62" borderId="58" xfId="0" applyNumberFormat="1" applyFont="1" applyFill="1" applyBorder="1" applyAlignment="1">
      <alignment horizontal="center"/>
    </xf>
    <xf numFmtId="2" fontId="225" fillId="62" borderId="59" xfId="0" applyNumberFormat="1" applyFont="1" applyFill="1" applyBorder="1" applyAlignment="1">
      <alignment horizontal="center"/>
    </xf>
    <xf numFmtId="14" fontId="225" fillId="62" borderId="60" xfId="0" applyNumberFormat="1" applyFont="1" applyFill="1" applyBorder="1"/>
    <xf numFmtId="14" fontId="225" fillId="62" borderId="61" xfId="0" applyNumberFormat="1" applyFont="1" applyFill="1" applyBorder="1"/>
    <xf numFmtId="2" fontId="225" fillId="62" borderId="62" xfId="0" applyNumberFormat="1" applyFont="1" applyFill="1" applyBorder="1" applyAlignment="1">
      <alignment horizontal="center"/>
    </xf>
    <xf numFmtId="2" fontId="225" fillId="62" borderId="63" xfId="0" applyNumberFormat="1" applyFont="1" applyFill="1" applyBorder="1" applyAlignment="1">
      <alignment horizontal="center"/>
    </xf>
    <xf numFmtId="14" fontId="46" fillId="62" borderId="18" xfId="442" applyNumberFormat="1" applyFont="1" applyFill="1" applyBorder="1" applyAlignment="1"/>
    <xf numFmtId="14" fontId="46" fillId="62" borderId="0" xfId="435" applyNumberFormat="1" applyFont="1" applyFill="1" applyBorder="1" applyAlignment="1">
      <alignment horizontal="center"/>
    </xf>
    <xf numFmtId="0" fontId="46" fillId="62" borderId="0" xfId="442" applyFont="1" applyFill="1" applyBorder="1" applyAlignment="1"/>
    <xf numFmtId="22" fontId="46" fillId="62" borderId="0" xfId="442" applyNumberFormat="1" applyFont="1" applyFill="1"/>
    <xf numFmtId="0" fontId="46" fillId="62" borderId="0" xfId="427" applyNumberFormat="1" applyFont="1" applyFill="1" applyBorder="1" applyAlignment="1">
      <alignment horizontal="left"/>
    </xf>
    <xf numFmtId="170" fontId="46" fillId="62" borderId="0" xfId="427" applyNumberFormat="1" applyFont="1" applyFill="1" applyBorder="1" applyAlignment="1">
      <alignment horizontal="left" vertical="top"/>
    </xf>
    <xf numFmtId="170" fontId="46" fillId="62" borderId="0" xfId="427" applyNumberFormat="1" applyFont="1" applyFill="1" applyBorder="1" applyAlignment="1">
      <alignment horizontal="center" vertical="top"/>
    </xf>
    <xf numFmtId="0" fontId="46" fillId="62" borderId="18" xfId="442" applyFont="1" applyFill="1" applyBorder="1" applyAlignment="1"/>
    <xf numFmtId="0" fontId="46" fillId="64" borderId="35" xfId="0" applyNumberFormat="1" applyFont="1" applyFill="1" applyBorder="1" applyAlignment="1">
      <alignment horizontal="center"/>
    </xf>
    <xf numFmtId="181" fontId="46" fillId="64" borderId="35" xfId="442" applyNumberFormat="1" applyFont="1" applyFill="1" applyBorder="1" applyAlignment="1">
      <alignment horizontal="center"/>
    </xf>
    <xf numFmtId="0" fontId="225" fillId="0" borderId="0" xfId="0" applyFont="1" applyFill="1" applyBorder="1" applyAlignment="1">
      <alignment horizontal="center"/>
    </xf>
    <xf numFmtId="0" fontId="0" fillId="0" borderId="0" xfId="0" applyFill="1" applyBorder="1" applyAlignment="1">
      <alignment horizontal="left"/>
    </xf>
    <xf numFmtId="0" fontId="0" fillId="0" borderId="0" xfId="0" applyFill="1" applyBorder="1" applyAlignment="1">
      <alignment horizontal="center"/>
    </xf>
    <xf numFmtId="0" fontId="295" fillId="62" borderId="0" xfId="0" applyFont="1" applyFill="1"/>
    <xf numFmtId="0" fontId="8" fillId="0" borderId="0" xfId="458" applyFont="1" applyBorder="1"/>
    <xf numFmtId="0" fontId="296" fillId="62" borderId="0" xfId="0" applyFont="1" applyFill="1"/>
    <xf numFmtId="0" fontId="187" fillId="62" borderId="0" xfId="0" applyFont="1" applyFill="1"/>
    <xf numFmtId="0" fontId="229" fillId="62" borderId="0" xfId="0" applyFont="1" applyFill="1" applyBorder="1" applyAlignment="1">
      <alignment horizontal="left" vertical="center"/>
    </xf>
    <xf numFmtId="0" fontId="275" fillId="62" borderId="0" xfId="0" applyFont="1" applyFill="1" applyBorder="1" applyAlignment="1">
      <alignment horizontal="left" vertical="center"/>
    </xf>
    <xf numFmtId="0" fontId="297" fillId="62" borderId="0" xfId="0" applyFont="1" applyFill="1"/>
    <xf numFmtId="168" fontId="0" fillId="0" borderId="83" xfId="0" applyNumberFormat="1" applyFill="1" applyBorder="1" applyAlignment="1">
      <alignment horizontal="center"/>
    </xf>
    <xf numFmtId="168" fontId="0" fillId="0" borderId="84" xfId="0" applyNumberFormat="1" applyFill="1" applyBorder="1" applyAlignment="1">
      <alignment horizontal="center"/>
    </xf>
    <xf numFmtId="168" fontId="0" fillId="0" borderId="85" xfId="0" applyNumberFormat="1" applyFill="1" applyBorder="1" applyAlignment="1">
      <alignment horizontal="center"/>
    </xf>
    <xf numFmtId="0" fontId="0" fillId="62" borderId="22" xfId="0" applyFill="1" applyBorder="1" applyAlignment="1">
      <alignment horizontal="left"/>
    </xf>
    <xf numFmtId="0" fontId="0" fillId="62" borderId="21" xfId="0" applyFill="1" applyBorder="1" applyAlignment="1">
      <alignment horizontal="left"/>
    </xf>
    <xf numFmtId="0" fontId="0" fillId="62" borderId="20" xfId="0" applyFill="1" applyBorder="1" applyAlignment="1">
      <alignment horizontal="left"/>
    </xf>
    <xf numFmtId="0" fontId="127" fillId="0" borderId="15" xfId="429" quotePrefix="1" applyFont="1" applyFill="1" applyBorder="1"/>
    <xf numFmtId="0" fontId="127" fillId="0" borderId="0" xfId="429" quotePrefix="1" applyFont="1" applyFill="1" applyBorder="1"/>
    <xf numFmtId="0" fontId="127" fillId="0" borderId="0" xfId="429" applyFont="1" applyFill="1" applyBorder="1"/>
    <xf numFmtId="0" fontId="0" fillId="0" borderId="35" xfId="0" applyFill="1" applyBorder="1"/>
    <xf numFmtId="3" fontId="0" fillId="0" borderId="0" xfId="0" applyNumberFormat="1" applyFill="1" applyBorder="1" applyAlignment="1">
      <alignment horizontal="left"/>
    </xf>
    <xf numFmtId="171" fontId="0" fillId="0" borderId="0" xfId="0" applyNumberFormat="1" applyFill="1" applyBorder="1" applyAlignment="1">
      <alignment horizontal="left"/>
    </xf>
    <xf numFmtId="1" fontId="0" fillId="0" borderId="0" xfId="0" applyNumberFormat="1" applyFill="1" applyBorder="1" applyAlignment="1">
      <alignment horizontal="left"/>
    </xf>
    <xf numFmtId="4" fontId="0" fillId="0" borderId="0" xfId="0" applyNumberFormat="1" applyFill="1" applyBorder="1" applyAlignment="1">
      <alignment horizontal="left"/>
    </xf>
    <xf numFmtId="0" fontId="127" fillId="0" borderId="0" xfId="429" applyFont="1" applyFill="1" applyBorder="1" applyAlignment="1">
      <alignment horizontal="left"/>
    </xf>
    <xf numFmtId="0" fontId="127" fillId="0" borderId="21" xfId="429" applyFont="1" applyFill="1" applyBorder="1" applyAlignment="1">
      <alignment horizontal="left"/>
    </xf>
    <xf numFmtId="0" fontId="116" fillId="0" borderId="21" xfId="0" applyFont="1" applyFill="1" applyBorder="1" applyAlignment="1">
      <alignment horizontal="center"/>
    </xf>
    <xf numFmtId="0" fontId="116" fillId="0" borderId="0" xfId="0" applyFont="1" applyFill="1" applyBorder="1" applyAlignment="1">
      <alignment horizontal="left"/>
    </xf>
    <xf numFmtId="0" fontId="116" fillId="0" borderId="0" xfId="0" applyFont="1" applyFill="1" applyBorder="1" applyAlignment="1">
      <alignment horizontal="center"/>
    </xf>
    <xf numFmtId="0" fontId="116" fillId="0" borderId="0" xfId="0" applyFont="1" applyFill="1" applyAlignment="1">
      <alignment horizontal="left"/>
    </xf>
    <xf numFmtId="0" fontId="127" fillId="0" borderId="21" xfId="429" quotePrefix="1" applyFont="1" applyFill="1" applyBorder="1" applyAlignment="1">
      <alignment horizontal="left"/>
    </xf>
    <xf numFmtId="0" fontId="127" fillId="0" borderId="0" xfId="429" quotePrefix="1" applyFont="1" applyFill="1" applyBorder="1" applyAlignment="1">
      <alignment horizontal="left"/>
    </xf>
    <xf numFmtId="0" fontId="121" fillId="0" borderId="0" xfId="0" quotePrefix="1" applyFont="1" applyFill="1" applyBorder="1" applyAlignment="1">
      <alignment horizontal="left" vertical="center"/>
    </xf>
    <xf numFmtId="0" fontId="114" fillId="0" borderId="0" xfId="0" applyFont="1" applyFill="1" applyBorder="1" applyAlignment="1">
      <alignment horizontal="right"/>
    </xf>
    <xf numFmtId="14" fontId="298" fillId="0" borderId="17" xfId="0" applyNumberFormat="1" applyFont="1" applyFill="1" applyBorder="1"/>
    <xf numFmtId="0" fontId="127" fillId="0" borderId="21" xfId="429" applyFont="1" applyFill="1" applyBorder="1" applyAlignment="1">
      <alignment horizontal="center"/>
    </xf>
    <xf numFmtId="0" fontId="127" fillId="0" borderId="17" xfId="429" quotePrefix="1" applyFont="1" applyFill="1" applyBorder="1" applyAlignment="1">
      <alignment horizontal="left"/>
    </xf>
    <xf numFmtId="0" fontId="127" fillId="0" borderId="22" xfId="429" applyFont="1" applyFill="1" applyBorder="1" applyAlignment="1">
      <alignment horizontal="left"/>
    </xf>
    <xf numFmtId="170" fontId="0" fillId="0" borderId="21" xfId="0" applyNumberFormat="1" applyFill="1" applyBorder="1"/>
    <xf numFmtId="0" fontId="0" fillId="0" borderId="34" xfId="0" applyFill="1" applyBorder="1"/>
    <xf numFmtId="178" fontId="127" fillId="0" borderId="21" xfId="429" quotePrefix="1" applyNumberFormat="1" applyFont="1" applyFill="1" applyBorder="1" applyAlignment="1">
      <alignment horizontal="right"/>
    </xf>
    <xf numFmtId="14" fontId="0" fillId="0" borderId="21" xfId="0" applyNumberFormat="1" applyFill="1" applyBorder="1"/>
    <xf numFmtId="167" fontId="0" fillId="0" borderId="0" xfId="0" applyNumberFormat="1" applyFill="1"/>
    <xf numFmtId="0" fontId="179" fillId="62" borderId="0" xfId="429" applyFont="1" applyFill="1" applyBorder="1" applyAlignment="1">
      <alignment horizontal="left"/>
    </xf>
    <xf numFmtId="0" fontId="299" fillId="62" borderId="0" xfId="0" applyFont="1" applyFill="1"/>
    <xf numFmtId="0" fontId="46" fillId="62" borderId="0" xfId="427" applyFont="1" applyFill="1"/>
    <xf numFmtId="0" fontId="300" fillId="62" borderId="0" xfId="0" applyFont="1" applyFill="1"/>
    <xf numFmtId="0" fontId="229" fillId="64" borderId="35" xfId="437" applyFont="1" applyFill="1" applyBorder="1" applyAlignment="1">
      <alignment horizontal="center"/>
    </xf>
    <xf numFmtId="178" fontId="201" fillId="64" borderId="35" xfId="437" applyNumberFormat="1" applyFill="1" applyBorder="1" applyAlignment="1">
      <alignment horizontal="center"/>
    </xf>
    <xf numFmtId="0" fontId="201" fillId="64" borderId="35" xfId="437" applyFill="1" applyBorder="1" applyAlignment="1">
      <alignment horizontal="center"/>
    </xf>
    <xf numFmtId="14" fontId="201" fillId="64" borderId="35" xfId="437" applyNumberFormat="1" applyFill="1" applyBorder="1" applyAlignment="1">
      <alignment horizontal="center"/>
    </xf>
    <xf numFmtId="0" fontId="201" fillId="64" borderId="35" xfId="437" applyFill="1" applyBorder="1" applyAlignment="1">
      <alignment horizontal="right"/>
    </xf>
    <xf numFmtId="178" fontId="201" fillId="64" borderId="35" xfId="437" applyNumberFormat="1" applyFill="1" applyBorder="1" applyAlignment="1">
      <alignment horizontal="right"/>
    </xf>
    <xf numFmtId="168" fontId="229" fillId="62" borderId="35" xfId="437" applyNumberFormat="1" applyFont="1" applyFill="1" applyBorder="1" applyAlignment="1">
      <alignment horizontal="center"/>
    </xf>
    <xf numFmtId="14" fontId="229" fillId="64" borderId="35" xfId="437" applyNumberFormat="1" applyFont="1" applyFill="1" applyBorder="1" applyAlignment="1">
      <alignment horizontal="center"/>
    </xf>
    <xf numFmtId="178" fontId="201" fillId="64" borderId="39" xfId="437" applyNumberFormat="1" applyFill="1" applyBorder="1" applyAlignment="1">
      <alignment horizontal="center"/>
    </xf>
    <xf numFmtId="0" fontId="201" fillId="0" borderId="18" xfId="437" applyFont="1" applyFill="1" applyBorder="1" applyAlignment="1">
      <alignment horizontal="center"/>
    </xf>
    <xf numFmtId="0" fontId="229" fillId="0" borderId="0" xfId="437" quotePrefix="1" applyFont="1" applyFill="1" applyBorder="1" applyAlignment="1">
      <alignment horizontal="center"/>
    </xf>
    <xf numFmtId="2" fontId="0" fillId="64" borderId="20" xfId="0" applyNumberFormat="1" applyFont="1" applyFill="1" applyBorder="1" applyAlignment="1">
      <alignment horizontal="center"/>
    </xf>
    <xf numFmtId="0" fontId="0" fillId="64" borderId="38" xfId="0" applyFont="1" applyFill="1" applyBorder="1" applyAlignment="1">
      <alignment horizontal="center"/>
    </xf>
    <xf numFmtId="14" fontId="0" fillId="64" borderId="38" xfId="0" applyNumberFormat="1" applyFont="1" applyFill="1" applyBorder="1" applyAlignment="1">
      <alignment horizontal="center"/>
    </xf>
    <xf numFmtId="14" fontId="229" fillId="64" borderId="38" xfId="0" applyNumberFormat="1" applyFont="1" applyFill="1" applyBorder="1" applyAlignment="1">
      <alignment horizontal="center"/>
    </xf>
    <xf numFmtId="0" fontId="0" fillId="64" borderId="35" xfId="0" applyFont="1" applyFill="1" applyBorder="1" applyAlignment="1">
      <alignment horizontal="center"/>
    </xf>
    <xf numFmtId="0" fontId="301" fillId="62" borderId="0" xfId="0" applyFont="1" applyFill="1"/>
    <xf numFmtId="0" fontId="105" fillId="62" borderId="18" xfId="0" applyFont="1" applyFill="1" applyBorder="1" applyAlignment="1">
      <alignment horizontal="left" vertical="center"/>
    </xf>
    <xf numFmtId="0" fontId="46" fillId="62" borderId="0" xfId="435" applyFont="1" applyFill="1" applyBorder="1"/>
    <xf numFmtId="0" fontId="0" fillId="0" borderId="0" xfId="0" applyFill="1" applyBorder="1" applyAlignment="1">
      <alignment horizontal="center"/>
    </xf>
    <xf numFmtId="0" fontId="0" fillId="0" borderId="15" xfId="0" applyFont="1" applyFill="1" applyBorder="1" applyAlignment="1">
      <alignment horizontal="left"/>
    </xf>
    <xf numFmtId="0" fontId="0" fillId="0" borderId="0" xfId="0" applyFont="1" applyFill="1" applyBorder="1" applyAlignment="1">
      <alignment horizontal="left"/>
    </xf>
    <xf numFmtId="0" fontId="0" fillId="0" borderId="18" xfId="0" applyFill="1" applyBorder="1" applyAlignment="1">
      <alignment horizontal="center"/>
    </xf>
    <xf numFmtId="0" fontId="0" fillId="62" borderId="0" xfId="0" applyFill="1" applyBorder="1" applyAlignment="1">
      <alignment horizontal="center"/>
    </xf>
    <xf numFmtId="0" fontId="194" fillId="65" borderId="22" xfId="428" applyFont="1" applyFill="1" applyBorder="1"/>
    <xf numFmtId="0" fontId="94" fillId="65" borderId="15" xfId="428" applyFont="1" applyFill="1" applyBorder="1"/>
    <xf numFmtId="0" fontId="99" fillId="65" borderId="15" xfId="428" applyFont="1" applyFill="1" applyBorder="1"/>
    <xf numFmtId="0" fontId="94" fillId="65" borderId="16" xfId="428" applyFont="1" applyFill="1" applyBorder="1"/>
    <xf numFmtId="0" fontId="136" fillId="65" borderId="21" xfId="428" applyFont="1" applyFill="1" applyBorder="1"/>
    <xf numFmtId="0" fontId="94" fillId="65" borderId="0" xfId="428" applyFont="1" applyFill="1" applyBorder="1"/>
    <xf numFmtId="0" fontId="99" fillId="65" borderId="0" xfId="428" applyFont="1" applyFill="1" applyBorder="1"/>
    <xf numFmtId="0" fontId="94" fillId="65" borderId="17" xfId="428" applyFont="1" applyFill="1" applyBorder="1"/>
    <xf numFmtId="0" fontId="194" fillId="65" borderId="21" xfId="428" applyFont="1" applyFill="1" applyBorder="1"/>
    <xf numFmtId="0" fontId="99" fillId="65" borderId="0" xfId="428" applyFont="1" applyFill="1" applyBorder="1" applyAlignment="1"/>
    <xf numFmtId="0" fontId="46" fillId="65" borderId="0" xfId="428" applyFont="1" applyFill="1" applyBorder="1" applyAlignment="1"/>
    <xf numFmtId="0" fontId="46" fillId="65" borderId="0" xfId="428" applyFont="1" applyFill="1" applyBorder="1"/>
    <xf numFmtId="0" fontId="151" fillId="65" borderId="21" xfId="428" applyFont="1" applyFill="1" applyBorder="1"/>
    <xf numFmtId="0" fontId="99" fillId="65" borderId="21" xfId="428" applyFont="1" applyFill="1" applyBorder="1"/>
    <xf numFmtId="0" fontId="90" fillId="65" borderId="0" xfId="428" applyFont="1" applyFill="1" applyBorder="1"/>
    <xf numFmtId="0" fontId="112" fillId="65" borderId="0" xfId="428" applyFont="1" applyFill="1" applyBorder="1"/>
    <xf numFmtId="0" fontId="152" fillId="65" borderId="21" xfId="428" applyFont="1" applyFill="1" applyBorder="1"/>
    <xf numFmtId="0" fontId="90" fillId="65" borderId="0" xfId="428" applyFont="1" applyFill="1" applyBorder="1" applyAlignment="1"/>
    <xf numFmtId="0" fontId="185" fillId="65" borderId="21" xfId="428" applyFont="1" applyFill="1" applyBorder="1"/>
    <xf numFmtId="0" fontId="136" fillId="65" borderId="20" xfId="428" applyFont="1" applyFill="1" applyBorder="1"/>
    <xf numFmtId="0" fontId="99" fillId="65" borderId="18" xfId="428" applyFont="1" applyFill="1" applyBorder="1"/>
    <xf numFmtId="0" fontId="94" fillId="65" borderId="18" xfId="428" applyFont="1" applyFill="1" applyBorder="1"/>
    <xf numFmtId="0" fontId="94" fillId="65" borderId="19" xfId="428" applyFont="1" applyFill="1" applyBorder="1"/>
    <xf numFmtId="0" fontId="99" fillId="65" borderId="22" xfId="428" applyFont="1" applyFill="1" applyBorder="1"/>
    <xf numFmtId="0" fontId="46" fillId="65" borderId="21" xfId="428" applyFont="1" applyFill="1" applyBorder="1"/>
    <xf numFmtId="0" fontId="229" fillId="65" borderId="0" xfId="0" applyFont="1" applyFill="1" applyBorder="1"/>
    <xf numFmtId="0" fontId="302" fillId="65" borderId="0" xfId="428" applyFont="1" applyFill="1" applyBorder="1"/>
    <xf numFmtId="0" fontId="303" fillId="65" borderId="0" xfId="428" applyFont="1" applyFill="1" applyBorder="1"/>
    <xf numFmtId="0" fontId="47" fillId="65" borderId="20" xfId="428" applyFont="1" applyFill="1" applyBorder="1"/>
    <xf numFmtId="0" fontId="188" fillId="62" borderId="0" xfId="0" applyFont="1" applyFill="1"/>
    <xf numFmtId="0" fontId="304" fillId="62" borderId="0" xfId="0" applyFont="1" applyFill="1"/>
    <xf numFmtId="0" fontId="0" fillId="62" borderId="15" xfId="0" applyFont="1" applyFill="1" applyBorder="1"/>
    <xf numFmtId="0" fontId="0" fillId="62" borderId="16" xfId="0" applyFont="1" applyFill="1" applyBorder="1"/>
    <xf numFmtId="14" fontId="0" fillId="62" borderId="0" xfId="0" applyNumberFormat="1" applyFont="1" applyFill="1"/>
    <xf numFmtId="0" fontId="0" fillId="62" borderId="19" xfId="0" applyFont="1" applyFill="1" applyBorder="1"/>
    <xf numFmtId="0" fontId="0" fillId="62" borderId="0" xfId="0" applyFont="1" applyFill="1" applyAlignment="1">
      <alignment horizontal="center"/>
    </xf>
    <xf numFmtId="0" fontId="0" fillId="62" borderId="21" xfId="0" applyFont="1" applyFill="1" applyBorder="1" applyAlignment="1">
      <alignment horizontal="center"/>
    </xf>
    <xf numFmtId="0" fontId="0" fillId="62" borderId="34" xfId="0" applyFont="1" applyFill="1" applyBorder="1"/>
    <xf numFmtId="0" fontId="94" fillId="62" borderId="21" xfId="435" applyFont="1" applyFill="1" applyBorder="1"/>
    <xf numFmtId="0" fontId="94" fillId="62" borderId="0" xfId="435" applyFont="1" applyFill="1" applyBorder="1"/>
    <xf numFmtId="0" fontId="202" fillId="62" borderId="0" xfId="0" applyFont="1" applyFill="1" applyBorder="1"/>
    <xf numFmtId="0" fontId="94" fillId="62" borderId="0" xfId="435" applyFont="1" applyFill="1" applyBorder="1" applyAlignment="1"/>
    <xf numFmtId="2" fontId="94" fillId="62" borderId="0" xfId="435" applyNumberFormat="1" applyFont="1" applyFill="1" applyBorder="1" applyAlignment="1">
      <alignment horizontal="center"/>
    </xf>
    <xf numFmtId="0" fontId="202" fillId="62" borderId="21" xfId="0" applyFont="1" applyFill="1" applyBorder="1"/>
    <xf numFmtId="170" fontId="94" fillId="62" borderId="0" xfId="435" applyNumberFormat="1" applyFont="1" applyFill="1" applyBorder="1" applyAlignment="1">
      <alignment horizontal="center"/>
    </xf>
    <xf numFmtId="2" fontId="130" fillId="62" borderId="0" xfId="435" applyNumberFormat="1" applyFont="1" applyFill="1" applyBorder="1"/>
    <xf numFmtId="14" fontId="0" fillId="62" borderId="18" xfId="0" applyNumberFormat="1" applyFont="1" applyFill="1" applyBorder="1"/>
    <xf numFmtId="14" fontId="202" fillId="62" borderId="0" xfId="0" applyNumberFormat="1" applyFont="1" applyFill="1" applyBorder="1"/>
    <xf numFmtId="2" fontId="305" fillId="62" borderId="0" xfId="442" applyNumberFormat="1" applyFont="1" applyFill="1" applyBorder="1" applyAlignment="1">
      <alignment horizontal="right"/>
    </xf>
    <xf numFmtId="170" fontId="46" fillId="64" borderId="35" xfId="0" applyNumberFormat="1" applyFont="1" applyFill="1" applyBorder="1" applyAlignment="1">
      <alignment horizontal="center"/>
    </xf>
    <xf numFmtId="170" fontId="99" fillId="64" borderId="35" xfId="0" applyNumberFormat="1" applyFont="1" applyFill="1" applyBorder="1" applyAlignment="1">
      <alignment horizontal="center"/>
    </xf>
    <xf numFmtId="14" fontId="94" fillId="64" borderId="35" xfId="442" quotePrefix="1" applyNumberFormat="1" applyFont="1" applyFill="1" applyBorder="1" applyAlignment="1">
      <alignment horizontal="center"/>
    </xf>
    <xf numFmtId="0" fontId="99" fillId="64" borderId="35" xfId="0" quotePrefix="1" applyFont="1" applyFill="1" applyBorder="1"/>
    <xf numFmtId="0" fontId="94" fillId="64" borderId="35" xfId="435" applyFont="1" applyFill="1" applyBorder="1" applyAlignment="1">
      <alignment horizontal="center"/>
    </xf>
    <xf numFmtId="0" fontId="99" fillId="64" borderId="35" xfId="0" applyNumberFormat="1" applyFont="1" applyFill="1" applyBorder="1" applyAlignment="1">
      <alignment horizontal="center"/>
    </xf>
    <xf numFmtId="0" fontId="94" fillId="62" borderId="0" xfId="427" applyFont="1" applyFill="1"/>
    <xf numFmtId="0" fontId="98" fillId="62" borderId="0" xfId="427" applyFont="1" applyFill="1" applyBorder="1"/>
    <xf numFmtId="0" fontId="99" fillId="62" borderId="0" xfId="427" applyFont="1" applyFill="1"/>
    <xf numFmtId="0" fontId="99" fillId="62" borderId="0" xfId="427" applyFont="1" applyFill="1" applyBorder="1"/>
    <xf numFmtId="0" fontId="99" fillId="62" borderId="0" xfId="427" applyFont="1" applyFill="1" applyBorder="1" applyAlignment="1">
      <alignment horizontal="left"/>
    </xf>
    <xf numFmtId="0" fontId="108" fillId="62" borderId="0" xfId="427" applyFont="1" applyFill="1" applyBorder="1"/>
    <xf numFmtId="0" fontId="94" fillId="62" borderId="0" xfId="427" applyFont="1" applyFill="1" applyBorder="1"/>
    <xf numFmtId="0" fontId="46" fillId="62" borderId="40" xfId="427" applyFont="1" applyFill="1" applyBorder="1"/>
    <xf numFmtId="0" fontId="50" fillId="62" borderId="0" xfId="427" applyFont="1" applyFill="1" applyBorder="1"/>
    <xf numFmtId="0" fontId="46" fillId="62" borderId="39" xfId="427" quotePrefix="1" applyFont="1" applyFill="1" applyBorder="1"/>
    <xf numFmtId="0" fontId="46" fillId="62" borderId="0" xfId="427" applyFont="1" applyFill="1" applyBorder="1"/>
    <xf numFmtId="0" fontId="121" fillId="62" borderId="0" xfId="427" quotePrefix="1" applyFont="1" applyFill="1" applyBorder="1"/>
    <xf numFmtId="0" fontId="121" fillId="62" borderId="0" xfId="427" applyFont="1" applyFill="1" applyBorder="1"/>
    <xf numFmtId="0" fontId="254" fillId="62" borderId="0" xfId="427" quotePrefix="1" applyFont="1" applyFill="1" applyBorder="1" applyAlignment="1">
      <alignment horizontal="center"/>
    </xf>
    <xf numFmtId="0" fontId="141" fillId="62" borderId="0" xfId="427" quotePrefix="1" applyFont="1" applyFill="1" applyBorder="1" applyAlignment="1">
      <alignment horizontal="center"/>
    </xf>
    <xf numFmtId="0" fontId="94" fillId="62" borderId="0" xfId="427" applyFont="1" applyFill="1" applyBorder="1" applyAlignment="1">
      <alignment horizontal="center"/>
    </xf>
    <xf numFmtId="0" fontId="227" fillId="62" borderId="0" xfId="427" applyFont="1" applyFill="1" applyBorder="1" applyAlignment="1">
      <alignment horizontal="center"/>
    </xf>
    <xf numFmtId="0" fontId="99" fillId="62" borderId="0" xfId="427" applyFont="1" applyFill="1" applyBorder="1" applyAlignment="1">
      <alignment horizontal="center"/>
    </xf>
    <xf numFmtId="49" fontId="108" fillId="62" borderId="0" xfId="427" applyNumberFormat="1" applyFont="1" applyFill="1" applyBorder="1" applyAlignment="1">
      <alignment horizontal="center"/>
    </xf>
    <xf numFmtId="0" fontId="106" fillId="62" borderId="0" xfId="427" applyFont="1" applyFill="1" applyBorder="1"/>
    <xf numFmtId="0" fontId="222" fillId="62" borderId="45" xfId="0" applyFont="1" applyFill="1" applyBorder="1"/>
    <xf numFmtId="0" fontId="222" fillId="62" borderId="46" xfId="0" applyFont="1" applyFill="1" applyBorder="1"/>
    <xf numFmtId="0" fontId="94" fillId="62" borderId="0" xfId="427" applyNumberFormat="1" applyFont="1" applyFill="1" applyBorder="1"/>
    <xf numFmtId="0" fontId="306" fillId="62" borderId="0" xfId="0" applyFont="1" applyFill="1" applyAlignment="1">
      <alignment horizontal="left" vertical="center"/>
    </xf>
    <xf numFmtId="0" fontId="76" fillId="62" borderId="0" xfId="0" applyFont="1" applyFill="1" applyAlignment="1">
      <alignment horizontal="left" vertical="center"/>
    </xf>
    <xf numFmtId="0" fontId="307" fillId="62" borderId="0" xfId="0" applyFont="1" applyFill="1" applyBorder="1" applyAlignment="1">
      <alignment horizontal="center" vertical="center"/>
    </xf>
    <xf numFmtId="0" fontId="250" fillId="62" borderId="0" xfId="0" quotePrefix="1" applyFont="1" applyFill="1" applyAlignment="1">
      <alignment horizontal="left"/>
    </xf>
    <xf numFmtId="0" fontId="308" fillId="62" borderId="0" xfId="0" applyFont="1" applyFill="1" applyAlignment="1">
      <alignment horizontal="center"/>
    </xf>
    <xf numFmtId="0" fontId="250" fillId="62" borderId="0" xfId="0" quotePrefix="1" applyFont="1" applyFill="1"/>
    <xf numFmtId="0" fontId="260" fillId="62" borderId="0" xfId="0" quotePrefix="1" applyFont="1" applyFill="1" applyAlignment="1">
      <alignment horizontal="left"/>
    </xf>
    <xf numFmtId="0" fontId="229" fillId="62" borderId="0" xfId="0" quotePrefix="1" applyFont="1" applyFill="1" applyAlignment="1">
      <alignment horizontal="center"/>
    </xf>
    <xf numFmtId="0" fontId="222" fillId="62" borderId="0" xfId="0" applyFont="1" applyFill="1" applyAlignment="1">
      <alignment horizontal="left"/>
    </xf>
    <xf numFmtId="0" fontId="285" fillId="62" borderId="0" xfId="0" quotePrefix="1" applyFont="1" applyFill="1" applyAlignment="1">
      <alignment horizontal="left"/>
    </xf>
    <xf numFmtId="0" fontId="287" fillId="62" borderId="0" xfId="0" quotePrefix="1" applyFont="1" applyFill="1"/>
    <xf numFmtId="0" fontId="260" fillId="62" borderId="0" xfId="0" quotePrefix="1" applyFont="1" applyFill="1" applyAlignment="1">
      <alignment horizontal="center"/>
    </xf>
    <xf numFmtId="0" fontId="250" fillId="62" borderId="0" xfId="0" applyFont="1" applyFill="1" applyBorder="1" applyAlignment="1">
      <alignment horizontal="center"/>
    </xf>
    <xf numFmtId="167" fontId="224" fillId="62" borderId="0" xfId="0" applyNumberFormat="1" applyFont="1" applyFill="1" applyBorder="1" applyAlignment="1">
      <alignment horizontal="center"/>
    </xf>
    <xf numFmtId="14" fontId="0" fillId="62" borderId="0" xfId="0" applyNumberFormat="1" applyFill="1" applyBorder="1" applyAlignment="1">
      <alignment horizontal="center"/>
    </xf>
    <xf numFmtId="0" fontId="0" fillId="62" borderId="0" xfId="0" applyFill="1" applyBorder="1" applyAlignment="1">
      <alignment horizontal="center" vertical="center"/>
    </xf>
    <xf numFmtId="0" fontId="201" fillId="62" borderId="0" xfId="0" applyFont="1" applyFill="1" applyBorder="1" applyAlignment="1">
      <alignment horizontal="center"/>
    </xf>
    <xf numFmtId="0" fontId="0" fillId="62" borderId="18" xfId="0" applyFill="1" applyBorder="1" applyAlignment="1">
      <alignment horizontal="center"/>
    </xf>
    <xf numFmtId="0" fontId="309" fillId="62" borderId="0" xfId="0" applyFont="1" applyFill="1" applyBorder="1" applyAlignment="1">
      <alignment horizontal="center" vertical="center"/>
    </xf>
    <xf numFmtId="0" fontId="0" fillId="62" borderId="18" xfId="0" applyFill="1" applyBorder="1" applyAlignment="1">
      <alignment horizontal="center" vertical="center"/>
    </xf>
    <xf numFmtId="0" fontId="270" fillId="62" borderId="0" xfId="0" applyFont="1" applyFill="1" applyBorder="1"/>
    <xf numFmtId="0" fontId="0" fillId="62" borderId="0" xfId="0" applyFill="1" applyBorder="1" applyAlignment="1">
      <alignment vertical="center"/>
    </xf>
    <xf numFmtId="0" fontId="260" fillId="62" borderId="0" xfId="0" applyFont="1" applyFill="1" applyBorder="1" applyAlignment="1">
      <alignment horizontal="center" vertical="center"/>
    </xf>
    <xf numFmtId="14" fontId="260" fillId="62" borderId="0" xfId="0" applyNumberFormat="1" applyFont="1" applyFill="1" applyAlignment="1">
      <alignment horizontal="center" vertical="center"/>
    </xf>
    <xf numFmtId="167" fontId="223" fillId="62" borderId="0" xfId="0" applyNumberFormat="1" applyFont="1" applyFill="1" applyBorder="1" applyAlignment="1">
      <alignment horizontal="center"/>
    </xf>
    <xf numFmtId="167" fontId="0" fillId="62" borderId="0" xfId="0" applyNumberFormat="1" applyFont="1" applyFill="1" applyBorder="1" applyAlignment="1">
      <alignment horizontal="center"/>
    </xf>
    <xf numFmtId="0" fontId="0" fillId="62" borderId="0" xfId="0" applyFill="1" applyAlignment="1"/>
    <xf numFmtId="1" fontId="46" fillId="62" borderId="0" xfId="427" applyNumberFormat="1" applyFont="1" applyFill="1" applyBorder="1" applyAlignment="1">
      <alignment horizontal="center"/>
    </xf>
    <xf numFmtId="2" fontId="250" fillId="62" borderId="0" xfId="0" applyNumberFormat="1" applyFont="1" applyFill="1" applyBorder="1" applyAlignment="1">
      <alignment horizontal="center"/>
    </xf>
    <xf numFmtId="167" fontId="310" fillId="62" borderId="0" xfId="0" applyNumberFormat="1" applyFont="1" applyFill="1" applyBorder="1" applyAlignment="1">
      <alignment horizontal="center"/>
    </xf>
    <xf numFmtId="171" fontId="311" fillId="62" borderId="0" xfId="0" applyNumberFormat="1" applyFont="1" applyFill="1" applyBorder="1" applyAlignment="1">
      <alignment horizontal="center"/>
    </xf>
    <xf numFmtId="14" fontId="46" fillId="62" borderId="0" xfId="427" applyNumberFormat="1" applyFont="1" applyFill="1" applyBorder="1" applyAlignment="1">
      <alignment horizontal="center"/>
    </xf>
    <xf numFmtId="0" fontId="99" fillId="62" borderId="18" xfId="442" applyFont="1" applyFill="1" applyBorder="1" applyAlignment="1">
      <alignment horizontal="center" vertical="center"/>
    </xf>
    <xf numFmtId="0" fontId="121" fillId="62" borderId="21" xfId="442" quotePrefix="1" applyFont="1" applyFill="1" applyBorder="1"/>
    <xf numFmtId="0" fontId="248" fillId="62" borderId="0" xfId="442" quotePrefix="1" applyFont="1" applyFill="1" applyBorder="1" applyAlignment="1">
      <alignment horizontal="left" vertical="center"/>
    </xf>
    <xf numFmtId="0" fontId="248" fillId="62" borderId="21" xfId="442" quotePrefix="1" applyFont="1" applyFill="1" applyBorder="1" applyAlignment="1">
      <alignment horizontal="left" vertical="center"/>
    </xf>
    <xf numFmtId="0" fontId="99" fillId="62" borderId="0" xfId="442" applyFont="1" applyFill="1" applyBorder="1" applyAlignment="1">
      <alignment horizontal="center" vertical="center"/>
    </xf>
    <xf numFmtId="0" fontId="0" fillId="62" borderId="38" xfId="0" applyFill="1" applyBorder="1"/>
    <xf numFmtId="0" fontId="170" fillId="62" borderId="45" xfId="442" applyFont="1" applyFill="1" applyBorder="1" applyAlignment="1">
      <alignment vertical="center"/>
    </xf>
    <xf numFmtId="0" fontId="0" fillId="62" borderId="45" xfId="0" applyFill="1" applyBorder="1"/>
    <xf numFmtId="0" fontId="170" fillId="62" borderId="0" xfId="442" applyFont="1" applyFill="1" applyBorder="1" applyAlignment="1">
      <alignment vertical="center"/>
    </xf>
    <xf numFmtId="0" fontId="8" fillId="62" borderId="21" xfId="442" applyFont="1" applyFill="1" applyBorder="1" applyAlignment="1">
      <alignment horizontal="center" vertical="center" wrapText="1"/>
    </xf>
    <xf numFmtId="168" fontId="46" fillId="62" borderId="0" xfId="427" applyNumberFormat="1" applyFont="1" applyFill="1" applyBorder="1" applyAlignment="1">
      <alignment horizontal="center"/>
    </xf>
    <xf numFmtId="0" fontId="312" fillId="62" borderId="0" xfId="0" applyFont="1" applyFill="1" applyBorder="1" applyAlignment="1">
      <alignment horizontal="center"/>
    </xf>
    <xf numFmtId="170" fontId="0" fillId="62" borderId="0" xfId="0" applyNumberFormat="1" applyFill="1" applyBorder="1"/>
    <xf numFmtId="168" fontId="50" fillId="62" borderId="0" xfId="435" applyNumberFormat="1" applyFont="1" applyFill="1" applyBorder="1" applyAlignment="1">
      <alignment horizontal="center"/>
    </xf>
    <xf numFmtId="0" fontId="284" fillId="62" borderId="0" xfId="0" applyFont="1" applyFill="1"/>
    <xf numFmtId="170" fontId="284" fillId="62" borderId="0" xfId="0" applyNumberFormat="1" applyFont="1" applyFill="1" applyBorder="1"/>
    <xf numFmtId="167" fontId="284" fillId="62" borderId="0" xfId="0" applyNumberFormat="1" applyFont="1" applyFill="1" applyBorder="1"/>
    <xf numFmtId="0" fontId="309" fillId="62" borderId="0" xfId="0" applyFont="1" applyFill="1" applyAlignment="1">
      <alignment horizontal="left" vertical="center"/>
    </xf>
    <xf numFmtId="0" fontId="267" fillId="62" borderId="0" xfId="0" quotePrefix="1" applyFont="1" applyFill="1"/>
    <xf numFmtId="0" fontId="112" fillId="62" borderId="0" xfId="0" applyFont="1" applyFill="1"/>
    <xf numFmtId="167" fontId="313" fillId="62" borderId="0" xfId="0" applyNumberFormat="1" applyFont="1" applyFill="1" applyAlignment="1">
      <alignment horizontal="center"/>
    </xf>
    <xf numFmtId="0" fontId="46" fillId="64" borderId="35" xfId="427" applyFont="1" applyFill="1" applyBorder="1" applyAlignment="1">
      <alignment horizontal="center" vertical="center"/>
    </xf>
    <xf numFmtId="0" fontId="46" fillId="64" borderId="39" xfId="427" applyFont="1" applyFill="1" applyBorder="1" applyAlignment="1">
      <alignment horizontal="center" vertical="top"/>
    </xf>
    <xf numFmtId="0" fontId="46" fillId="64" borderId="35" xfId="427" applyFont="1" applyFill="1" applyBorder="1" applyAlignment="1">
      <alignment horizontal="center" vertical="top"/>
    </xf>
    <xf numFmtId="0" fontId="46" fillId="64" borderId="46" xfId="427" applyFont="1" applyFill="1" applyBorder="1" applyAlignment="1">
      <alignment horizontal="center"/>
    </xf>
    <xf numFmtId="0" fontId="99" fillId="64" borderId="46" xfId="427" applyFont="1" applyFill="1" applyBorder="1" applyAlignment="1">
      <alignment horizontal="center"/>
    </xf>
    <xf numFmtId="0" fontId="99" fillId="64" borderId="38" xfId="427" applyFont="1" applyFill="1" applyBorder="1" applyAlignment="1">
      <alignment horizontal="center"/>
    </xf>
    <xf numFmtId="0" fontId="46" fillId="64" borderId="35" xfId="427" applyFont="1" applyFill="1" applyBorder="1" applyAlignment="1">
      <alignment horizontal="center"/>
    </xf>
    <xf numFmtId="0" fontId="46" fillId="64" borderId="38" xfId="427" applyFont="1" applyFill="1" applyBorder="1" applyAlignment="1">
      <alignment horizontal="center" vertical="center"/>
    </xf>
    <xf numFmtId="14" fontId="99" fillId="64" borderId="38" xfId="427" applyNumberFormat="1" applyFont="1" applyFill="1" applyBorder="1" applyAlignment="1">
      <alignment horizontal="center" vertical="top"/>
    </xf>
    <xf numFmtId="0" fontId="46" fillId="64" borderId="38" xfId="427" applyFont="1" applyFill="1" applyBorder="1" applyAlignment="1">
      <alignment horizontal="center"/>
    </xf>
    <xf numFmtId="0" fontId="99" fillId="64" borderId="35" xfId="427" applyFont="1" applyFill="1" applyBorder="1" applyAlignment="1">
      <alignment horizontal="center"/>
    </xf>
    <xf numFmtId="14" fontId="99" fillId="64" borderId="35" xfId="427" applyNumberFormat="1" applyFont="1" applyFill="1" applyBorder="1" applyAlignment="1">
      <alignment horizontal="center" vertical="top"/>
    </xf>
    <xf numFmtId="1" fontId="314" fillId="64" borderId="35" xfId="0" applyNumberFormat="1" applyFont="1" applyFill="1" applyBorder="1" applyAlignment="1">
      <alignment horizontal="center"/>
    </xf>
    <xf numFmtId="0" fontId="229" fillId="64" borderId="38" xfId="0" applyFont="1" applyFill="1" applyBorder="1" applyAlignment="1">
      <alignment horizontal="center"/>
    </xf>
    <xf numFmtId="0" fontId="229" fillId="64" borderId="45" xfId="0" applyFont="1" applyFill="1" applyBorder="1" applyAlignment="1">
      <alignment horizontal="center"/>
    </xf>
    <xf numFmtId="0" fontId="0" fillId="64" borderId="35" xfId="0" applyFill="1" applyBorder="1" applyAlignment="1">
      <alignment horizontal="center" vertical="center"/>
    </xf>
    <xf numFmtId="1" fontId="0" fillId="64" borderId="35" xfId="0" applyNumberFormat="1" applyFill="1" applyBorder="1" applyAlignment="1">
      <alignment horizontal="center" vertical="center"/>
    </xf>
    <xf numFmtId="168" fontId="201" fillId="64" borderId="35" xfId="0" applyNumberFormat="1" applyFont="1" applyFill="1" applyBorder="1" applyAlignment="1">
      <alignment horizontal="center"/>
    </xf>
    <xf numFmtId="0" fontId="0" fillId="64" borderId="40" xfId="0" applyFill="1" applyBorder="1" applyAlignment="1">
      <alignment horizontal="center"/>
    </xf>
    <xf numFmtId="14" fontId="0" fillId="64" borderId="35" xfId="0" applyNumberFormat="1" applyFill="1" applyBorder="1" applyAlignment="1">
      <alignment horizontal="center"/>
    </xf>
    <xf numFmtId="14" fontId="0" fillId="64" borderId="35" xfId="0" applyNumberFormat="1" applyFill="1" applyBorder="1" applyAlignment="1">
      <alignment horizontal="center" vertical="center"/>
    </xf>
    <xf numFmtId="169" fontId="46" fillId="0" borderId="15" xfId="442" applyNumberFormat="1" applyFont="1" applyFill="1" applyBorder="1" applyAlignment="1">
      <alignment horizontal="center"/>
    </xf>
    <xf numFmtId="177" fontId="54" fillId="0" borderId="0" xfId="442" applyNumberFormat="1" applyFont="1" applyFill="1" applyBorder="1" applyAlignment="1">
      <alignment horizontal="center"/>
    </xf>
    <xf numFmtId="177" fontId="54" fillId="0" borderId="18" xfId="442" applyNumberFormat="1" applyFont="1" applyFill="1" applyBorder="1" applyAlignment="1">
      <alignment horizontal="center"/>
    </xf>
    <xf numFmtId="167" fontId="46" fillId="64" borderId="86" xfId="442" applyNumberFormat="1" applyFont="1" applyFill="1" applyBorder="1" applyAlignment="1">
      <alignment horizontal="center"/>
    </xf>
    <xf numFmtId="0" fontId="99" fillId="64" borderId="87" xfId="442" applyNumberFormat="1" applyFont="1" applyFill="1" applyBorder="1" applyAlignment="1">
      <alignment horizontal="center"/>
    </xf>
    <xf numFmtId="0" fontId="99" fillId="64" borderId="88" xfId="442" applyNumberFormat="1" applyFont="1" applyFill="1" applyBorder="1" applyAlignment="1">
      <alignment horizontal="center"/>
    </xf>
    <xf numFmtId="0" fontId="99" fillId="64" borderId="89" xfId="442" applyNumberFormat="1" applyFont="1" applyFill="1" applyBorder="1" applyAlignment="1">
      <alignment horizontal="center"/>
    </xf>
    <xf numFmtId="167" fontId="46" fillId="64" borderId="90" xfId="442" applyNumberFormat="1" applyFont="1" applyFill="1" applyBorder="1" applyAlignment="1">
      <alignment horizontal="center"/>
    </xf>
    <xf numFmtId="0" fontId="99" fillId="64" borderId="91" xfId="442" applyNumberFormat="1" applyFont="1" applyFill="1" applyBorder="1" applyAlignment="1">
      <alignment horizontal="center"/>
    </xf>
    <xf numFmtId="0" fontId="229" fillId="64" borderId="83" xfId="0" applyFont="1" applyFill="1" applyBorder="1" applyAlignment="1">
      <alignment horizontal="center"/>
    </xf>
    <xf numFmtId="0" fontId="229" fillId="64" borderId="84" xfId="0" applyFont="1" applyFill="1" applyBorder="1" applyAlignment="1">
      <alignment horizontal="center"/>
    </xf>
    <xf numFmtId="0" fontId="229" fillId="64" borderId="85" xfId="0" applyFont="1" applyFill="1" applyBorder="1" applyAlignment="1">
      <alignment horizontal="center"/>
    </xf>
    <xf numFmtId="0" fontId="285" fillId="62" borderId="0" xfId="0" quotePrefix="1" applyFont="1" applyFill="1" applyAlignment="1">
      <alignment horizontal="center"/>
    </xf>
    <xf numFmtId="0" fontId="285" fillId="0" borderId="22" xfId="0" applyFont="1" applyFill="1" applyBorder="1"/>
    <xf numFmtId="0" fontId="285" fillId="0" borderId="16" xfId="0" applyFont="1" applyFill="1" applyBorder="1"/>
    <xf numFmtId="0" fontId="245" fillId="0" borderId="17" xfId="0" applyFont="1" applyFill="1" applyBorder="1"/>
    <xf numFmtId="0" fontId="202" fillId="62" borderId="0" xfId="0" applyFont="1" applyFill="1"/>
    <xf numFmtId="167" fontId="202" fillId="62" borderId="0" xfId="0" applyNumberFormat="1" applyFont="1" applyFill="1"/>
    <xf numFmtId="171" fontId="202" fillId="62" borderId="0" xfId="0" applyNumberFormat="1" applyFont="1" applyFill="1"/>
    <xf numFmtId="2" fontId="202" fillId="62" borderId="0" xfId="0" applyNumberFormat="1" applyFont="1" applyFill="1"/>
    <xf numFmtId="0" fontId="43" fillId="62" borderId="0" xfId="0" applyFont="1" applyFill="1"/>
    <xf numFmtId="0" fontId="264" fillId="62" borderId="0" xfId="0" applyFont="1" applyFill="1"/>
    <xf numFmtId="167" fontId="0" fillId="62" borderId="0" xfId="0" applyNumberFormat="1" applyFont="1" applyFill="1"/>
    <xf numFmtId="171" fontId="0" fillId="62" borderId="0" xfId="0" applyNumberFormat="1" applyFont="1" applyFill="1"/>
    <xf numFmtId="2" fontId="0" fillId="62" borderId="0" xfId="0" applyNumberFormat="1" applyFont="1" applyFill="1"/>
    <xf numFmtId="0" fontId="264" fillId="62" borderId="0" xfId="0" applyFont="1" applyFill="1" applyBorder="1"/>
    <xf numFmtId="0" fontId="250" fillId="62" borderId="0" xfId="0" quotePrefix="1" applyFont="1" applyFill="1" applyBorder="1"/>
    <xf numFmtId="0" fontId="315" fillId="62" borderId="0" xfId="0" quotePrefix="1" applyFont="1" applyFill="1"/>
    <xf numFmtId="0" fontId="0" fillId="62" borderId="0" xfId="0" quotePrefix="1" applyFont="1" applyFill="1"/>
    <xf numFmtId="0" fontId="248" fillId="62" borderId="22" xfId="0" quotePrefix="1" applyFont="1" applyFill="1" applyBorder="1" applyAlignment="1">
      <alignment horizontal="left"/>
    </xf>
    <xf numFmtId="0" fontId="245" fillId="62" borderId="15" xfId="0" quotePrefix="1" applyFont="1" applyFill="1" applyBorder="1"/>
    <xf numFmtId="167" fontId="0" fillId="62" borderId="15" xfId="0" applyNumberFormat="1" applyFont="1" applyFill="1" applyBorder="1"/>
    <xf numFmtId="171" fontId="0" fillId="62" borderId="16" xfId="0" applyNumberFormat="1" applyFont="1" applyFill="1" applyBorder="1"/>
    <xf numFmtId="0" fontId="46" fillId="62" borderId="21" xfId="0" quotePrefix="1" applyFont="1" applyFill="1" applyBorder="1" applyAlignment="1">
      <alignment horizontal="left"/>
    </xf>
    <xf numFmtId="2" fontId="0" fillId="62" borderId="0" xfId="0" applyNumberFormat="1" applyFont="1" applyFill="1" applyBorder="1"/>
    <xf numFmtId="167" fontId="0" fillId="62" borderId="0" xfId="0" applyNumberFormat="1" applyFont="1" applyFill="1" applyBorder="1"/>
    <xf numFmtId="171" fontId="0" fillId="62" borderId="17" xfId="0" applyNumberFormat="1" applyFont="1" applyFill="1" applyBorder="1"/>
    <xf numFmtId="167" fontId="202" fillId="62" borderId="0" xfId="0" applyNumberFormat="1" applyFont="1" applyFill="1" applyBorder="1"/>
    <xf numFmtId="171" fontId="202" fillId="62" borderId="17" xfId="0" applyNumberFormat="1" applyFont="1" applyFill="1" applyBorder="1"/>
    <xf numFmtId="2" fontId="202" fillId="62" borderId="0" xfId="0" applyNumberFormat="1" applyFont="1" applyFill="1" applyBorder="1"/>
    <xf numFmtId="0" fontId="202" fillId="62" borderId="20" xfId="0" applyFont="1" applyFill="1" applyBorder="1"/>
    <xf numFmtId="0" fontId="202" fillId="62" borderId="18" xfId="0" applyFont="1" applyFill="1" applyBorder="1"/>
    <xf numFmtId="2" fontId="202" fillId="62" borderId="18" xfId="0" applyNumberFormat="1" applyFont="1" applyFill="1" applyBorder="1"/>
    <xf numFmtId="167" fontId="202" fillId="62" borderId="18" xfId="0" applyNumberFormat="1" applyFont="1" applyFill="1" applyBorder="1"/>
    <xf numFmtId="171" fontId="202" fillId="62" borderId="19" xfId="0" applyNumberFormat="1" applyFont="1" applyFill="1" applyBorder="1"/>
    <xf numFmtId="0" fontId="316" fillId="62" borderId="0" xfId="0" applyFont="1" applyFill="1"/>
    <xf numFmtId="0" fontId="245" fillId="62" borderId="0" xfId="437" applyFont="1" applyFill="1" applyBorder="1"/>
    <xf numFmtId="0" fontId="317" fillId="62" borderId="0" xfId="437" applyFont="1" applyFill="1"/>
    <xf numFmtId="0" fontId="224" fillId="62" borderId="0" xfId="437" applyFont="1" applyFill="1" applyBorder="1" applyAlignment="1">
      <alignment horizontal="center" vertical="center"/>
    </xf>
    <xf numFmtId="0" fontId="201" fillId="62" borderId="0" xfId="437" applyFill="1"/>
    <xf numFmtId="0" fontId="318" fillId="62" borderId="0" xfId="437" applyFont="1" applyFill="1" applyAlignment="1">
      <alignment horizontal="left"/>
    </xf>
    <xf numFmtId="0" fontId="201" fillId="62" borderId="0" xfId="437" applyFill="1" applyAlignment="1">
      <alignment vertical="center"/>
    </xf>
    <xf numFmtId="0" fontId="201" fillId="62" borderId="21" xfId="437" applyFill="1" applyBorder="1"/>
    <xf numFmtId="0" fontId="201" fillId="62" borderId="21" xfId="437" applyFont="1" applyFill="1" applyBorder="1"/>
    <xf numFmtId="0" fontId="201" fillId="62" borderId="0" xfId="437" applyFill="1" applyBorder="1"/>
    <xf numFmtId="0" fontId="228" fillId="62" borderId="0" xfId="437" quotePrefix="1" applyFont="1" applyFill="1" applyBorder="1" applyAlignment="1">
      <alignment horizontal="left"/>
    </xf>
    <xf numFmtId="0" fontId="201" fillId="62" borderId="0" xfId="437" applyFont="1" applyFill="1"/>
    <xf numFmtId="0" fontId="201" fillId="62" borderId="0" xfId="437" applyFont="1" applyFill="1" applyAlignment="1">
      <alignment horizontal="center"/>
    </xf>
    <xf numFmtId="172" fontId="201" fillId="62" borderId="0" xfId="437" applyNumberFormat="1" applyFont="1" applyFill="1"/>
    <xf numFmtId="167" fontId="201" fillId="62" borderId="0" xfId="437" applyNumberFormat="1" applyFill="1"/>
    <xf numFmtId="167" fontId="201" fillId="62" borderId="0" xfId="437" applyNumberFormat="1" applyFill="1" applyAlignment="1">
      <alignment horizontal="center"/>
    </xf>
    <xf numFmtId="172" fontId="201" fillId="62" borderId="0" xfId="437" applyNumberFormat="1" applyFont="1" applyFill="1" applyBorder="1"/>
    <xf numFmtId="172" fontId="201" fillId="62" borderId="0" xfId="437" applyNumberFormat="1" applyFill="1"/>
    <xf numFmtId="167" fontId="201" fillId="62" borderId="0" xfId="437" applyNumberFormat="1" applyFill="1" applyBorder="1"/>
    <xf numFmtId="172" fontId="201" fillId="62" borderId="0" xfId="437" applyNumberFormat="1" applyFill="1" applyBorder="1"/>
    <xf numFmtId="0" fontId="252" fillId="64" borderId="35" xfId="437" applyFont="1" applyFill="1" applyBorder="1" applyAlignment="1">
      <alignment horizontal="center"/>
    </xf>
    <xf numFmtId="0" fontId="252" fillId="64" borderId="22" xfId="437" applyFont="1" applyFill="1" applyBorder="1" applyAlignment="1">
      <alignment horizontal="center"/>
    </xf>
    <xf numFmtId="170" fontId="229" fillId="64" borderId="38" xfId="437" applyNumberFormat="1" applyFont="1" applyFill="1" applyBorder="1" applyAlignment="1">
      <alignment horizontal="center"/>
    </xf>
    <xf numFmtId="0" fontId="127" fillId="62" borderId="0" xfId="428" applyFont="1" applyFill="1" applyBorder="1"/>
    <xf numFmtId="0" fontId="121" fillId="62" borderId="22" xfId="0" applyFont="1" applyFill="1" applyBorder="1"/>
    <xf numFmtId="0" fontId="99" fillId="62" borderId="0" xfId="527" applyFont="1" applyFill="1" applyBorder="1" applyAlignment="1" applyProtection="1">
      <protection hidden="1"/>
    </xf>
    <xf numFmtId="1" fontId="99" fillId="62" borderId="0" xfId="0" applyNumberFormat="1" applyFont="1" applyFill="1" applyBorder="1" applyAlignment="1"/>
    <xf numFmtId="0" fontId="318" fillId="62" borderId="0" xfId="428" applyFont="1" applyFill="1" applyBorder="1"/>
    <xf numFmtId="171" fontId="99" fillId="64" borderId="35" xfId="0" applyNumberFormat="1" applyFont="1" applyFill="1" applyBorder="1" applyAlignment="1">
      <alignment horizontal="center"/>
    </xf>
    <xf numFmtId="2" fontId="99" fillId="64" borderId="35" xfId="527" applyNumberFormat="1" applyFont="1" applyFill="1" applyBorder="1" applyAlignment="1" applyProtection="1">
      <protection hidden="1"/>
    </xf>
    <xf numFmtId="0" fontId="46" fillId="64" borderId="35" xfId="0" applyFont="1" applyFill="1" applyBorder="1" applyAlignment="1">
      <alignment horizontal="center" wrapText="1"/>
    </xf>
    <xf numFmtId="167" fontId="99" fillId="64" borderId="35" xfId="427" applyNumberFormat="1" applyFont="1" applyFill="1" applyBorder="1" applyAlignment="1"/>
    <xf numFmtId="2" fontId="99" fillId="64" borderId="35" xfId="427" applyNumberFormat="1" applyFont="1" applyFill="1" applyBorder="1" applyAlignment="1"/>
    <xf numFmtId="0" fontId="99" fillId="64" borderId="35" xfId="427" applyNumberFormat="1" applyFont="1" applyFill="1" applyBorder="1" applyAlignment="1"/>
    <xf numFmtId="0" fontId="99" fillId="64" borderId="35" xfId="527" applyNumberFormat="1" applyFont="1" applyFill="1" applyBorder="1" applyAlignment="1" applyProtection="1">
      <protection hidden="1"/>
    </xf>
    <xf numFmtId="167" fontId="99" fillId="64" borderId="35" xfId="527" applyNumberFormat="1" applyFont="1" applyFill="1" applyBorder="1" applyAlignment="1" applyProtection="1">
      <alignment horizontal="right"/>
      <protection hidden="1"/>
    </xf>
    <xf numFmtId="167" fontId="99" fillId="64" borderId="35" xfId="427" applyNumberFormat="1" applyFont="1" applyFill="1" applyBorder="1" applyAlignment="1">
      <alignment horizontal="right"/>
    </xf>
    <xf numFmtId="0" fontId="319" fillId="0" borderId="15" xfId="0" applyFont="1" applyFill="1" applyBorder="1" applyAlignment="1">
      <alignment horizontal="center"/>
    </xf>
    <xf numFmtId="0" fontId="90" fillId="62" borderId="0" xfId="432" applyFont="1" applyFill="1"/>
    <xf numFmtId="0" fontId="54" fillId="62" borderId="0" xfId="432" applyFill="1"/>
    <xf numFmtId="0" fontId="0" fillId="62" borderId="0" xfId="0" applyFill="1" applyProtection="1">
      <protection locked="0"/>
    </xf>
    <xf numFmtId="0" fontId="128" fillId="62" borderId="22" xfId="0" applyFont="1" applyFill="1" applyBorder="1"/>
    <xf numFmtId="0" fontId="115" fillId="62" borderId="21" xfId="0" applyFont="1" applyFill="1" applyBorder="1"/>
    <xf numFmtId="0" fontId="54" fillId="62" borderId="0" xfId="432" applyFill="1" applyBorder="1"/>
    <xf numFmtId="14" fontId="121" fillId="62" borderId="46" xfId="0" applyNumberFormat="1" applyFont="1" applyFill="1" applyBorder="1" applyAlignment="1">
      <alignment horizontal="center"/>
    </xf>
    <xf numFmtId="0" fontId="114" fillId="62" borderId="45" xfId="0" applyFont="1" applyFill="1" applyBorder="1" applyAlignment="1">
      <alignment horizontal="center"/>
    </xf>
    <xf numFmtId="0" fontId="0" fillId="62" borderId="45" xfId="0" applyFont="1" applyFill="1" applyBorder="1"/>
    <xf numFmtId="0" fontId="46" fillId="62" borderId="0" xfId="432" applyFont="1" applyFill="1" applyBorder="1"/>
    <xf numFmtId="0" fontId="54" fillId="62" borderId="0" xfId="432" applyFont="1" applyFill="1" applyBorder="1"/>
    <xf numFmtId="0" fontId="46" fillId="62" borderId="0" xfId="432" applyFont="1" applyFill="1"/>
    <xf numFmtId="0" fontId="54" fillId="62" borderId="0" xfId="432" applyFont="1" applyFill="1"/>
    <xf numFmtId="179" fontId="200" fillId="64" borderId="35" xfId="311" applyNumberFormat="1" applyFont="1" applyFill="1" applyBorder="1" applyAlignment="1">
      <alignment horizontal="right"/>
    </xf>
    <xf numFmtId="0" fontId="0" fillId="64" borderId="39" xfId="0" applyFont="1" applyFill="1" applyBorder="1" applyAlignment="1">
      <alignment horizontal="center"/>
    </xf>
    <xf numFmtId="14" fontId="257" fillId="0" borderId="0" xfId="435" applyNumberFormat="1" applyFont="1" applyFill="1" applyBorder="1" applyAlignment="1">
      <alignment horizontal="center"/>
    </xf>
    <xf numFmtId="0" fontId="320" fillId="0" borderId="0" xfId="432" applyFont="1" applyFill="1" applyBorder="1"/>
    <xf numFmtId="0" fontId="321" fillId="0" borderId="0" xfId="0" applyFont="1" applyFill="1" applyBorder="1" applyAlignment="1">
      <alignment horizontal="left"/>
    </xf>
    <xf numFmtId="0" fontId="323" fillId="0" borderId="0" xfId="432" applyFont="1" applyFill="1" applyBorder="1"/>
    <xf numFmtId="0" fontId="234" fillId="0" borderId="0" xfId="0" applyFont="1" applyFill="1" applyBorder="1" applyAlignment="1">
      <alignment horizontal="left"/>
    </xf>
    <xf numFmtId="14" fontId="54" fillId="64" borderId="53" xfId="432" applyNumberFormat="1" applyFont="1" applyFill="1" applyBorder="1" applyAlignment="1" applyProtection="1">
      <alignment horizontal="center" vertical="center"/>
      <protection locked="0"/>
    </xf>
    <xf numFmtId="0" fontId="73" fillId="64" borderId="53" xfId="432" applyFont="1" applyFill="1" applyBorder="1" applyAlignment="1" applyProtection="1">
      <alignment horizontal="center" vertical="center"/>
      <protection locked="0"/>
    </xf>
    <xf numFmtId="0" fontId="73" fillId="64" borderId="53" xfId="432" applyNumberFormat="1" applyFont="1" applyFill="1" applyBorder="1" applyAlignment="1" applyProtection="1">
      <alignment horizontal="center" vertical="center"/>
      <protection locked="0"/>
    </xf>
    <xf numFmtId="0" fontId="248" fillId="0" borderId="15" xfId="432" quotePrefix="1" applyFont="1" applyFill="1" applyBorder="1"/>
    <xf numFmtId="14" fontId="46" fillId="64" borderId="35" xfId="0" applyNumberFormat="1" applyFont="1" applyFill="1" applyBorder="1" applyAlignment="1">
      <alignment horizontal="center"/>
    </xf>
    <xf numFmtId="0" fontId="248" fillId="0" borderId="0" xfId="432" quotePrefix="1" applyFont="1" applyFill="1" applyBorder="1"/>
    <xf numFmtId="0" fontId="242" fillId="0" borderId="22" xfId="437" applyFont="1" applyFill="1" applyBorder="1" applyAlignment="1">
      <alignment horizontal="center"/>
    </xf>
    <xf numFmtId="0" fontId="242" fillId="0" borderId="15" xfId="437" applyFont="1" applyFill="1" applyBorder="1" applyAlignment="1">
      <alignment horizontal="center"/>
    </xf>
    <xf numFmtId="0" fontId="242" fillId="0" borderId="21" xfId="437" applyFont="1" applyFill="1" applyBorder="1" applyAlignment="1">
      <alignment horizontal="center"/>
    </xf>
    <xf numFmtId="0" fontId="224" fillId="0" borderId="21" xfId="437" applyFont="1" applyFill="1" applyBorder="1" applyAlignment="1">
      <alignment horizontal="center"/>
    </xf>
    <xf numFmtId="0" fontId="242" fillId="0" borderId="20" xfId="437" applyFont="1" applyFill="1" applyBorder="1" applyAlignment="1">
      <alignment horizontal="center"/>
    </xf>
    <xf numFmtId="0" fontId="242" fillId="0" borderId="18" xfId="437" applyFont="1" applyFill="1" applyBorder="1" applyAlignment="1">
      <alignment horizontal="center"/>
    </xf>
    <xf numFmtId="0" fontId="242" fillId="0" borderId="39" xfId="437" applyFont="1" applyFill="1" applyBorder="1" applyAlignment="1">
      <alignment horizontal="center"/>
    </xf>
    <xf numFmtId="0" fontId="242" fillId="0" borderId="46" xfId="437" applyFont="1" applyFill="1" applyBorder="1" applyAlignment="1">
      <alignment horizontal="center"/>
    </xf>
    <xf numFmtId="0" fontId="201" fillId="0" borderId="20" xfId="437" applyFill="1" applyBorder="1" applyAlignment="1">
      <alignment horizontal="center"/>
    </xf>
    <xf numFmtId="14" fontId="201" fillId="0" borderId="18" xfId="437" quotePrefix="1" applyNumberFormat="1" applyFill="1" applyBorder="1"/>
    <xf numFmtId="0" fontId="201" fillId="62" borderId="0" xfId="437" applyFill="1" applyAlignment="1">
      <alignment horizontal="left"/>
    </xf>
    <xf numFmtId="0" fontId="271" fillId="62" borderId="0" xfId="437" applyFont="1" applyFill="1"/>
    <xf numFmtId="0" fontId="228" fillId="62" borderId="0" xfId="437" quotePrefix="1" applyFont="1" applyFill="1" applyBorder="1" applyAlignment="1">
      <alignment horizontal="left" readingOrder="1"/>
    </xf>
    <xf numFmtId="0" fontId="201" fillId="62" borderId="0" xfId="437" applyFill="1" applyBorder="1" applyAlignment="1">
      <alignment horizontal="left"/>
    </xf>
    <xf numFmtId="178" fontId="201" fillId="62" borderId="35" xfId="437" applyNumberFormat="1" applyFill="1" applyBorder="1" applyAlignment="1">
      <alignment horizontal="left"/>
    </xf>
    <xf numFmtId="167" fontId="245" fillId="62" borderId="0" xfId="0" applyNumberFormat="1" applyFont="1" applyFill="1" applyBorder="1"/>
    <xf numFmtId="0" fontId="229" fillId="62" borderId="0" xfId="437" applyFont="1" applyFill="1"/>
    <xf numFmtId="0" fontId="0" fillId="0" borderId="0" xfId="0" applyFill="1" applyBorder="1" applyAlignment="1">
      <alignment horizontal="center"/>
    </xf>
    <xf numFmtId="0" fontId="0" fillId="0" borderId="15" xfId="0" applyFont="1" applyFill="1" applyBorder="1" applyAlignment="1">
      <alignment horizontal="left"/>
    </xf>
    <xf numFmtId="0" fontId="0" fillId="0" borderId="0" xfId="0" applyFont="1" applyFill="1" applyBorder="1" applyAlignment="1">
      <alignment horizontal="left"/>
    </xf>
    <xf numFmtId="0" fontId="0" fillId="0" borderId="18" xfId="0" applyFill="1" applyBorder="1" applyAlignment="1">
      <alignment horizontal="center"/>
    </xf>
    <xf numFmtId="0" fontId="228" fillId="0" borderId="21" xfId="437" applyFont="1" applyFill="1" applyBorder="1" applyAlignment="1">
      <alignment horizontal="center"/>
    </xf>
    <xf numFmtId="0" fontId="228" fillId="0" borderId="0" xfId="437" applyFont="1" applyFill="1" applyBorder="1" applyAlignment="1">
      <alignment horizontal="center"/>
    </xf>
    <xf numFmtId="0" fontId="232" fillId="0" borderId="0" xfId="437" applyFont="1" applyFill="1" applyBorder="1" applyAlignment="1">
      <alignment horizontal="center"/>
    </xf>
    <xf numFmtId="0" fontId="232" fillId="0" borderId="17" xfId="437" applyFont="1" applyFill="1" applyBorder="1" applyAlignment="1">
      <alignment horizontal="center"/>
    </xf>
    <xf numFmtId="0" fontId="0" fillId="0" borderId="18" xfId="0" applyFill="1" applyBorder="1" applyAlignment="1">
      <alignment horizontal="center"/>
    </xf>
    <xf numFmtId="0" fontId="0" fillId="0" borderId="0" xfId="0" applyFont="1" applyFill="1" applyBorder="1" applyAlignment="1">
      <alignment horizontal="left"/>
    </xf>
    <xf numFmtId="0" fontId="0" fillId="0" borderId="0" xfId="0" applyFill="1" applyBorder="1" applyAlignment="1">
      <alignment horizontal="center"/>
    </xf>
    <xf numFmtId="0" fontId="155" fillId="62" borderId="0" xfId="429" applyFont="1" applyFill="1" applyBorder="1"/>
    <xf numFmtId="0" fontId="93" fillId="62" borderId="0" xfId="0" applyFont="1" applyFill="1" applyBorder="1"/>
    <xf numFmtId="0" fontId="324" fillId="0" borderId="0" xfId="0" applyFont="1" applyAlignment="1">
      <alignment horizontal="left" vertical="center"/>
    </xf>
    <xf numFmtId="0" fontId="128" fillId="62" borderId="22" xfId="0" applyFont="1" applyFill="1" applyBorder="1" applyAlignment="1">
      <alignment vertical="center"/>
    </xf>
    <xf numFmtId="0" fontId="128" fillId="62" borderId="21" xfId="0" applyFont="1" applyFill="1" applyBorder="1"/>
    <xf numFmtId="0" fontId="104" fillId="62" borderId="0" xfId="433" applyFont="1" applyFill="1" applyBorder="1"/>
    <xf numFmtId="1" fontId="121" fillId="64" borderId="35" xfId="0" applyNumberFormat="1" applyFont="1" applyFill="1" applyBorder="1" applyAlignment="1">
      <alignment horizontal="center"/>
    </xf>
    <xf numFmtId="14" fontId="46" fillId="64" borderId="53" xfId="433" applyNumberFormat="1" applyFont="1" applyFill="1" applyBorder="1" applyAlignment="1" applyProtection="1">
      <alignment horizontal="center" vertical="center"/>
      <protection locked="0"/>
    </xf>
    <xf numFmtId="14" fontId="46" fillId="64" borderId="24" xfId="433" applyNumberFormat="1" applyFont="1" applyFill="1" applyBorder="1" applyAlignment="1" applyProtection="1">
      <alignment horizontal="center" vertical="center"/>
      <protection locked="0"/>
    </xf>
    <xf numFmtId="0" fontId="46" fillId="64" borderId="1" xfId="433" applyFont="1" applyFill="1" applyBorder="1" applyAlignment="1" applyProtection="1">
      <alignment horizontal="center" vertical="center"/>
      <protection locked="0"/>
    </xf>
    <xf numFmtId="0" fontId="46" fillId="64" borderId="53" xfId="433" applyFont="1" applyFill="1" applyBorder="1" applyAlignment="1" applyProtection="1">
      <alignment horizontal="center" vertical="center"/>
      <protection locked="0"/>
    </xf>
    <xf numFmtId="0" fontId="46" fillId="64" borderId="26" xfId="433" applyFont="1" applyFill="1" applyBorder="1" applyAlignment="1" applyProtection="1">
      <alignment horizontal="center" vertical="center"/>
      <protection locked="0"/>
    </xf>
    <xf numFmtId="1" fontId="248" fillId="0" borderId="35" xfId="0" applyNumberFormat="1" applyFont="1" applyFill="1" applyBorder="1" applyAlignment="1">
      <alignment horizontal="center"/>
    </xf>
    <xf numFmtId="0" fontId="50" fillId="0" borderId="22" xfId="0" quotePrefix="1" applyFont="1" applyFill="1" applyBorder="1"/>
    <xf numFmtId="1" fontId="46" fillId="64" borderId="35" xfId="0" applyNumberFormat="1" applyFont="1" applyFill="1" applyBorder="1" applyAlignment="1">
      <alignment horizontal="center"/>
    </xf>
    <xf numFmtId="168" fontId="251" fillId="0" borderId="35" xfId="0" applyNumberFormat="1" applyFont="1" applyFill="1" applyBorder="1" applyAlignment="1">
      <alignment horizontal="center"/>
    </xf>
    <xf numFmtId="0" fontId="114" fillId="0" borderId="21" xfId="0" applyFont="1" applyFill="1" applyBorder="1" applyAlignment="1">
      <alignment horizontal="center"/>
    </xf>
    <xf numFmtId="14" fontId="202" fillId="62" borderId="0" xfId="0" applyNumberFormat="1" applyFont="1" applyFill="1" applyBorder="1" applyAlignment="1">
      <alignment horizontal="center"/>
    </xf>
    <xf numFmtId="0" fontId="202" fillId="62" borderId="0" xfId="0" applyFont="1" applyFill="1" applyBorder="1" applyAlignment="1">
      <alignment horizontal="center"/>
    </xf>
    <xf numFmtId="0" fontId="248" fillId="0" borderId="0" xfId="0" quotePrefix="1" applyFont="1" applyFill="1" applyBorder="1" applyAlignment="1">
      <alignment horizontal="left"/>
    </xf>
    <xf numFmtId="14" fontId="286" fillId="0" borderId="46" xfId="0" applyNumberFormat="1" applyFont="1" applyFill="1" applyBorder="1" applyAlignment="1">
      <alignment horizontal="center"/>
    </xf>
    <xf numFmtId="0" fontId="54" fillId="0" borderId="20" xfId="432" applyFill="1" applyBorder="1"/>
    <xf numFmtId="14" fontId="286" fillId="64" borderId="35" xfId="0" applyNumberFormat="1" applyFont="1" applyFill="1" applyBorder="1" applyAlignment="1">
      <alignment horizontal="center"/>
    </xf>
    <xf numFmtId="14" fontId="285" fillId="0" borderId="21" xfId="0" applyNumberFormat="1" applyFont="1" applyFill="1" applyBorder="1" applyAlignment="1">
      <alignment horizontal="left"/>
    </xf>
    <xf numFmtId="14" fontId="285" fillId="0" borderId="20" xfId="0" applyNumberFormat="1" applyFont="1" applyFill="1" applyBorder="1" applyAlignment="1">
      <alignment horizontal="left"/>
    </xf>
    <xf numFmtId="0" fontId="285" fillId="0" borderId="17" xfId="0" applyFont="1" applyFill="1" applyBorder="1" applyAlignment="1">
      <alignment horizontal="center"/>
    </xf>
    <xf numFmtId="0" fontId="100" fillId="62" borderId="0" xfId="428" applyFont="1" applyFill="1" applyBorder="1"/>
    <xf numFmtId="22" fontId="0" fillId="62" borderId="0" xfId="0" applyNumberFormat="1" applyFill="1"/>
    <xf numFmtId="22" fontId="0" fillId="62" borderId="0" xfId="0" applyNumberFormat="1" applyFill="1" applyBorder="1"/>
    <xf numFmtId="22" fontId="0" fillId="62" borderId="0" xfId="0" applyNumberFormat="1" applyFont="1" applyFill="1" applyBorder="1"/>
    <xf numFmtId="22" fontId="99" fillId="62" borderId="0" xfId="0" applyNumberFormat="1" applyFont="1" applyFill="1" applyBorder="1"/>
    <xf numFmtId="167" fontId="99" fillId="64" borderId="39" xfId="427" applyNumberFormat="1" applyFont="1" applyFill="1" applyBorder="1" applyAlignment="1">
      <alignment horizontal="center"/>
    </xf>
    <xf numFmtId="14" fontId="99" fillId="64" borderId="35" xfId="427" applyNumberFormat="1" applyFont="1" applyFill="1" applyBorder="1" applyAlignment="1">
      <alignment horizontal="center"/>
    </xf>
    <xf numFmtId="14" fontId="99" fillId="64" borderId="35" xfId="427" applyNumberFormat="1" applyFont="1" applyFill="1" applyBorder="1" applyAlignment="1">
      <alignment horizontal="left"/>
    </xf>
    <xf numFmtId="14" fontId="0" fillId="0" borderId="18" xfId="0" applyNumberFormat="1" applyFill="1" applyBorder="1"/>
    <xf numFmtId="0" fontId="120" fillId="62" borderId="0" xfId="0" applyFont="1" applyFill="1"/>
    <xf numFmtId="4" fontId="0" fillId="62" borderId="0" xfId="0" applyNumberFormat="1" applyFill="1"/>
    <xf numFmtId="0" fontId="43" fillId="62" borderId="0" xfId="427" applyFont="1" applyFill="1"/>
    <xf numFmtId="0" fontId="46" fillId="62" borderId="0" xfId="435" applyFont="1" applyFill="1" applyBorder="1" applyAlignment="1"/>
    <xf numFmtId="0" fontId="0" fillId="62" borderId="0" xfId="0" applyFill="1" applyBorder="1" applyAlignment="1"/>
    <xf numFmtId="0" fontId="46" fillId="62" borderId="0" xfId="435" applyFont="1" applyFill="1" applyBorder="1" applyAlignment="1">
      <alignment wrapText="1"/>
    </xf>
    <xf numFmtId="170" fontId="99" fillId="64" borderId="35" xfId="427" applyNumberFormat="1" applyFont="1" applyFill="1" applyBorder="1" applyAlignment="1">
      <alignment horizontal="left" vertical="top"/>
    </xf>
    <xf numFmtId="170" fontId="99" fillId="64" borderId="35" xfId="427" applyNumberFormat="1" applyFont="1" applyFill="1" applyBorder="1" applyAlignment="1">
      <alignment horizontal="center" vertical="top"/>
    </xf>
    <xf numFmtId="170" fontId="99" fillId="0" borderId="39" xfId="427" applyNumberFormat="1" applyFont="1" applyFill="1" applyBorder="1" applyAlignment="1">
      <alignment horizontal="left" vertical="top"/>
    </xf>
    <xf numFmtId="1" fontId="99" fillId="0" borderId="20" xfId="427" applyNumberFormat="1" applyFont="1" applyFill="1" applyBorder="1" applyAlignment="1">
      <alignment horizontal="center"/>
    </xf>
    <xf numFmtId="1" fontId="99" fillId="0" borderId="18" xfId="427" applyNumberFormat="1" applyFont="1" applyFill="1" applyBorder="1" applyAlignment="1">
      <alignment horizontal="center"/>
    </xf>
    <xf numFmtId="1" fontId="46" fillId="64" borderId="19" xfId="427" applyNumberFormat="1" applyFont="1" applyFill="1" applyBorder="1" applyAlignment="1">
      <alignment horizontal="center"/>
    </xf>
    <xf numFmtId="1" fontId="99" fillId="64" borderId="46" xfId="427" applyNumberFormat="1" applyFont="1" applyFill="1" applyBorder="1" applyAlignment="1">
      <alignment horizontal="center"/>
    </xf>
    <xf numFmtId="14" fontId="99" fillId="64" borderId="46" xfId="427" applyNumberFormat="1" applyFont="1" applyFill="1" applyBorder="1" applyAlignment="1">
      <alignment horizontal="center"/>
    </xf>
    <xf numFmtId="1" fontId="99" fillId="64" borderId="39" xfId="427" applyNumberFormat="1" applyFont="1" applyFill="1" applyBorder="1" applyAlignment="1">
      <alignment horizontal="center"/>
    </xf>
    <xf numFmtId="170" fontId="99" fillId="0" borderId="34" xfId="427" applyNumberFormat="1" applyFont="1" applyFill="1" applyBorder="1" applyAlignment="1">
      <alignment horizontal="left" vertical="top"/>
    </xf>
    <xf numFmtId="0" fontId="201" fillId="62" borderId="0" xfId="437" applyNumberFormat="1" applyFill="1"/>
    <xf numFmtId="0" fontId="325" fillId="62" borderId="0" xfId="428" applyFont="1" applyFill="1" applyBorder="1"/>
    <xf numFmtId="0" fontId="326" fillId="62" borderId="0" xfId="437" applyFont="1" applyFill="1"/>
    <xf numFmtId="0" fontId="317" fillId="62" borderId="0" xfId="437" applyFont="1" applyFill="1" applyAlignment="1">
      <alignment horizontal="left"/>
    </xf>
    <xf numFmtId="0" fontId="201" fillId="62" borderId="0" xfId="437" quotePrefix="1" applyFill="1"/>
    <xf numFmtId="0" fontId="235" fillId="62" borderId="0" xfId="437" applyFont="1" applyFill="1" applyAlignment="1">
      <alignment horizontal="left"/>
    </xf>
    <xf numFmtId="0" fontId="327" fillId="62" borderId="0" xfId="437" applyFont="1" applyFill="1"/>
    <xf numFmtId="0" fontId="228" fillId="62" borderId="0" xfId="437" quotePrefix="1" applyFont="1" applyFill="1" applyBorder="1"/>
    <xf numFmtId="0" fontId="229" fillId="62" borderId="0" xfId="437" applyFont="1" applyFill="1" applyBorder="1" applyAlignment="1">
      <alignment horizontal="center"/>
    </xf>
    <xf numFmtId="0" fontId="201" fillId="62" borderId="0" xfId="437" applyFill="1" applyAlignment="1">
      <alignment horizontal="center"/>
    </xf>
    <xf numFmtId="14" fontId="201" fillId="62" borderId="0" xfId="437" applyNumberFormat="1" applyFill="1"/>
    <xf numFmtId="14" fontId="201" fillId="62" borderId="0" xfId="437" applyNumberFormat="1" applyFill="1" applyAlignment="1">
      <alignment horizontal="left"/>
    </xf>
    <xf numFmtId="0" fontId="201" fillId="64" borderId="22" xfId="437" applyFill="1" applyBorder="1" applyAlignment="1">
      <alignment horizontal="center"/>
    </xf>
    <xf numFmtId="170" fontId="201" fillId="64" borderId="35" xfId="437" applyNumberFormat="1" applyFill="1" applyBorder="1" applyAlignment="1">
      <alignment horizontal="center"/>
    </xf>
    <xf numFmtId="0" fontId="318" fillId="62" borderId="0" xfId="437" applyFont="1" applyFill="1" applyAlignment="1">
      <alignment horizontal="left" vertical="center"/>
    </xf>
    <xf numFmtId="0" fontId="201" fillId="62" borderId="0" xfId="437" applyFill="1" applyAlignment="1">
      <alignment horizontal="left" vertical="center"/>
    </xf>
    <xf numFmtId="0" fontId="179" fillId="62" borderId="0" xfId="428" applyFont="1" applyFill="1" applyBorder="1" applyAlignment="1">
      <alignment horizontal="left" vertical="center"/>
    </xf>
    <xf numFmtId="0" fontId="328" fillId="62" borderId="0" xfId="437" applyFont="1" applyFill="1" applyBorder="1" applyAlignment="1">
      <alignment horizontal="left" vertical="center"/>
    </xf>
    <xf numFmtId="0" fontId="329" fillId="62" borderId="0" xfId="437" applyFont="1" applyFill="1" applyAlignment="1">
      <alignment horizontal="left" vertical="center"/>
    </xf>
    <xf numFmtId="1" fontId="229" fillId="62" borderId="0" xfId="437" applyNumberFormat="1" applyFont="1" applyFill="1"/>
    <xf numFmtId="0" fontId="330" fillId="62" borderId="0" xfId="428" applyFont="1" applyFill="1" applyBorder="1"/>
    <xf numFmtId="0" fontId="229" fillId="62" borderId="0" xfId="437" applyFont="1" applyFill="1" applyAlignment="1">
      <alignment horizontal="center"/>
    </xf>
    <xf numFmtId="0" fontId="229" fillId="62" borderId="0" xfId="437" quotePrefix="1" applyFont="1" applyFill="1" applyAlignment="1">
      <alignment horizontal="center"/>
    </xf>
    <xf numFmtId="0" fontId="224" fillId="62" borderId="0" xfId="437" applyFont="1" applyFill="1" applyBorder="1" applyAlignment="1">
      <alignment horizontal="center"/>
    </xf>
    <xf numFmtId="0" fontId="229" fillId="62" borderId="0" xfId="437" applyFont="1" applyFill="1" applyBorder="1" applyAlignment="1"/>
    <xf numFmtId="0" fontId="229" fillId="62" borderId="0" xfId="437" applyFont="1" applyFill="1" applyBorder="1"/>
    <xf numFmtId="14" fontId="228" fillId="62" borderId="0" xfId="437" applyNumberFormat="1" applyFont="1" applyFill="1" applyBorder="1" applyAlignment="1">
      <alignment horizontal="left"/>
    </xf>
    <xf numFmtId="14" fontId="228" fillId="62" borderId="0" xfId="437" quotePrefix="1" applyNumberFormat="1" applyFont="1" applyFill="1" applyBorder="1" applyAlignment="1">
      <alignment horizontal="left"/>
    </xf>
    <xf numFmtId="0" fontId="237" fillId="62" borderId="0" xfId="437" applyFont="1" applyFill="1" applyBorder="1"/>
    <xf numFmtId="0" fontId="229" fillId="64" borderId="35" xfId="437" applyFont="1" applyFill="1" applyBorder="1" applyAlignment="1">
      <alignment horizontal="center" vertical="center"/>
    </xf>
    <xf numFmtId="168" fontId="229" fillId="64" borderId="35" xfId="437" applyNumberFormat="1" applyFont="1" applyFill="1" applyBorder="1" applyAlignment="1">
      <alignment horizontal="center"/>
    </xf>
    <xf numFmtId="171" fontId="229" fillId="64" borderId="35" xfId="437" applyNumberFormat="1" applyFont="1" applyFill="1" applyBorder="1" applyAlignment="1">
      <alignment horizontal="center"/>
    </xf>
    <xf numFmtId="167" fontId="229" fillId="64" borderId="35" xfId="437" applyNumberFormat="1" applyFont="1" applyFill="1" applyBorder="1" applyAlignment="1">
      <alignment horizontal="center"/>
    </xf>
    <xf numFmtId="178" fontId="229" fillId="64" borderId="35" xfId="437" applyNumberFormat="1" applyFont="1" applyFill="1" applyBorder="1" applyAlignment="1">
      <alignment horizontal="center"/>
    </xf>
    <xf numFmtId="0" fontId="229" fillId="64" borderId="38" xfId="437" applyFont="1" applyFill="1" applyBorder="1" applyAlignment="1">
      <alignment horizontal="center"/>
    </xf>
    <xf numFmtId="0" fontId="229" fillId="64" borderId="40" xfId="437" applyFont="1" applyFill="1" applyBorder="1" applyAlignment="1">
      <alignment horizontal="center"/>
    </xf>
    <xf numFmtId="0" fontId="229" fillId="64" borderId="39" xfId="437" applyFont="1" applyFill="1" applyBorder="1" applyAlignment="1">
      <alignment horizontal="center"/>
    </xf>
    <xf numFmtId="14" fontId="201" fillId="64" borderId="35" xfId="437" applyNumberFormat="1" applyFill="1" applyBorder="1" applyAlignment="1">
      <alignment horizontal="right"/>
    </xf>
    <xf numFmtId="167" fontId="331" fillId="0" borderId="21" xfId="0" applyNumberFormat="1" applyFont="1" applyFill="1" applyBorder="1"/>
    <xf numFmtId="0" fontId="245" fillId="0" borderId="22" xfId="0" applyFont="1" applyFill="1" applyBorder="1" applyAlignment="1"/>
    <xf numFmtId="0" fontId="287" fillId="0" borderId="0" xfId="437" quotePrefix="1" applyFont="1" applyFill="1" applyBorder="1"/>
    <xf numFmtId="0" fontId="0" fillId="0" borderId="22" xfId="0" applyFont="1" applyFill="1" applyBorder="1" applyAlignment="1"/>
    <xf numFmtId="167" fontId="285" fillId="0" borderId="0" xfId="0" applyNumberFormat="1" applyFont="1" applyFill="1" applyBorder="1"/>
    <xf numFmtId="0" fontId="250" fillId="0" borderId="0" xfId="437" quotePrefix="1" applyFont="1" applyFill="1" applyBorder="1"/>
    <xf numFmtId="0" fontId="332" fillId="62" borderId="0" xfId="0" applyFont="1" applyFill="1"/>
    <xf numFmtId="0" fontId="188" fillId="62" borderId="0" xfId="428" applyFont="1" applyFill="1" applyBorder="1"/>
    <xf numFmtId="0" fontId="119" fillId="62" borderId="0" xfId="428" applyFont="1" applyFill="1" applyBorder="1"/>
    <xf numFmtId="0" fontId="333" fillId="62" borderId="0" xfId="0" applyFont="1" applyFill="1" applyBorder="1"/>
    <xf numFmtId="0" fontId="0" fillId="0" borderId="20" xfId="0" applyFont="1" applyFill="1" applyBorder="1" applyAlignment="1">
      <alignment horizontal="center"/>
    </xf>
    <xf numFmtId="0" fontId="0" fillId="0" borderId="18" xfId="0" applyFont="1" applyFill="1" applyBorder="1" applyAlignment="1">
      <alignment horizontal="center"/>
    </xf>
    <xf numFmtId="0" fontId="0" fillId="0" borderId="15" xfId="0" applyFont="1" applyFill="1" applyBorder="1" applyAlignment="1"/>
    <xf numFmtId="0" fontId="0" fillId="0" borderId="0" xfId="0" applyFont="1" applyFill="1" applyBorder="1" applyAlignment="1"/>
    <xf numFmtId="167" fontId="50" fillId="0" borderId="21" xfId="0" applyNumberFormat="1" applyFont="1" applyFill="1" applyBorder="1" applyAlignment="1">
      <alignment horizontal="center"/>
    </xf>
    <xf numFmtId="167" fontId="50" fillId="0" borderId="22" xfId="0" applyNumberFormat="1" applyFont="1" applyFill="1" applyBorder="1" applyAlignment="1">
      <alignment horizontal="center"/>
    </xf>
    <xf numFmtId="167" fontId="46" fillId="0" borderId="15" xfId="0" applyNumberFormat="1" applyFont="1" applyFill="1" applyBorder="1" applyAlignment="1">
      <alignment horizontal="center"/>
    </xf>
    <xf numFmtId="167" fontId="50" fillId="0" borderId="15" xfId="0" applyNumberFormat="1" applyFont="1" applyFill="1" applyBorder="1" applyAlignment="1">
      <alignment horizontal="center"/>
    </xf>
    <xf numFmtId="167" fontId="46" fillId="64" borderId="35" xfId="0" applyNumberFormat="1" applyFont="1" applyFill="1" applyBorder="1" applyAlignment="1">
      <alignment horizontal="center"/>
    </xf>
    <xf numFmtId="168" fontId="46" fillId="0" borderId="0" xfId="0" applyNumberFormat="1" applyFont="1" applyFill="1" applyBorder="1" applyAlignment="1">
      <alignment horizontal="center"/>
    </xf>
    <xf numFmtId="0" fontId="152" fillId="62" borderId="0" xfId="0" applyFont="1" applyFill="1"/>
    <xf numFmtId="0" fontId="334" fillId="0" borderId="0" xfId="435" applyFont="1" applyFill="1" applyBorder="1" applyAlignment="1">
      <alignment horizontal="left"/>
    </xf>
    <xf numFmtId="0" fontId="227" fillId="0" borderId="0" xfId="435" applyFont="1" applyFill="1" applyBorder="1" applyAlignment="1">
      <alignment horizontal="left"/>
    </xf>
    <xf numFmtId="0" fontId="227" fillId="0" borderId="0" xfId="435" applyFont="1" applyFill="1" applyBorder="1" applyAlignment="1">
      <alignment horizontal="center"/>
    </xf>
    <xf numFmtId="0" fontId="335" fillId="0" borderId="0" xfId="0" applyFont="1" applyFill="1" applyAlignment="1">
      <alignment horizontal="center"/>
    </xf>
    <xf numFmtId="0" fontId="43" fillId="0" borderId="0" xfId="0" applyFont="1" applyFill="1" applyBorder="1"/>
    <xf numFmtId="0" fontId="223" fillId="0" borderId="0" xfId="0" applyFont="1" applyFill="1" applyBorder="1"/>
    <xf numFmtId="0" fontId="285" fillId="0" borderId="0" xfId="0" quotePrefix="1" applyFont="1" applyFill="1" applyBorder="1"/>
    <xf numFmtId="2" fontId="285" fillId="0" borderId="21" xfId="0" applyNumberFormat="1" applyFont="1" applyFill="1" applyBorder="1" applyAlignment="1">
      <alignment horizontal="center"/>
    </xf>
    <xf numFmtId="2" fontId="0" fillId="0" borderId="21" xfId="0" applyNumberFormat="1" applyFill="1" applyBorder="1" applyAlignment="1">
      <alignment horizontal="center"/>
    </xf>
    <xf numFmtId="0" fontId="54" fillId="62" borderId="0" xfId="442" applyFont="1" applyFill="1" applyAlignment="1">
      <alignment vertical="top"/>
    </xf>
    <xf numFmtId="0" fontId="250" fillId="62" borderId="18" xfId="0" quotePrefix="1" applyFont="1" applyFill="1" applyBorder="1" applyAlignment="1">
      <alignment vertical="center"/>
    </xf>
    <xf numFmtId="0" fontId="336" fillId="62" borderId="18" xfId="0" applyFont="1" applyFill="1" applyBorder="1" applyAlignment="1">
      <alignment horizontal="left" vertical="center"/>
    </xf>
    <xf numFmtId="0" fontId="51" fillId="62" borderId="15" xfId="442" applyFont="1" applyFill="1" applyBorder="1" applyAlignment="1">
      <alignment horizontal="center" vertical="center" wrapText="1"/>
    </xf>
    <xf numFmtId="0" fontId="230" fillId="62" borderId="0" xfId="0" applyFont="1" applyFill="1" applyAlignment="1">
      <alignment horizontal="center" vertical="center"/>
    </xf>
    <xf numFmtId="0" fontId="230" fillId="62" borderId="35" xfId="0" applyFont="1" applyFill="1" applyBorder="1" applyAlignment="1">
      <alignment horizontal="center" vertical="center"/>
    </xf>
    <xf numFmtId="0" fontId="323" fillId="62" borderId="0" xfId="442" applyFont="1" applyFill="1" applyBorder="1" applyAlignment="1">
      <alignment horizontal="center" vertical="center" wrapText="1"/>
    </xf>
    <xf numFmtId="0" fontId="51" fillId="62" borderId="21" xfId="442" applyFont="1" applyFill="1" applyBorder="1" applyAlignment="1">
      <alignment horizontal="center" vertical="center" wrapText="1"/>
    </xf>
    <xf numFmtId="0" fontId="51" fillId="62" borderId="0" xfId="442" applyFont="1" applyFill="1" applyBorder="1" applyAlignment="1">
      <alignment horizontal="center" vertical="center" wrapText="1"/>
    </xf>
    <xf numFmtId="0" fontId="51" fillId="64" borderId="35" xfId="442" applyFont="1" applyFill="1" applyBorder="1" applyAlignment="1">
      <alignment horizontal="center" vertical="center" wrapText="1"/>
    </xf>
    <xf numFmtId="0" fontId="337" fillId="62" borderId="18" xfId="0" quotePrefix="1" applyFont="1" applyFill="1" applyBorder="1" applyAlignment="1">
      <alignment horizontal="center"/>
    </xf>
    <xf numFmtId="0" fontId="230" fillId="62" borderId="0" xfId="0" applyFont="1" applyFill="1" applyBorder="1"/>
    <xf numFmtId="168" fontId="201" fillId="65" borderId="34" xfId="0" applyNumberFormat="1" applyFont="1" applyFill="1" applyBorder="1" applyAlignment="1">
      <alignment horizontal="center"/>
    </xf>
    <xf numFmtId="168" fontId="201" fillId="65" borderId="39" xfId="0" applyNumberFormat="1" applyFont="1" applyFill="1" applyBorder="1" applyAlignment="1">
      <alignment horizontal="center"/>
    </xf>
    <xf numFmtId="0" fontId="338" fillId="62" borderId="21" xfId="0" applyFont="1" applyFill="1" applyBorder="1"/>
    <xf numFmtId="0" fontId="265" fillId="0" borderId="0" xfId="0" applyFont="1" applyFill="1" applyBorder="1"/>
    <xf numFmtId="14" fontId="339" fillId="64" borderId="35" xfId="0" applyNumberFormat="1" applyFont="1" applyFill="1" applyBorder="1" applyAlignment="1">
      <alignment horizontal="center"/>
    </xf>
    <xf numFmtId="0" fontId="46" fillId="0" borderId="22" xfId="432" applyFont="1" applyFill="1" applyBorder="1"/>
    <xf numFmtId="14" fontId="285" fillId="0" borderId="21" xfId="0" applyNumberFormat="1" applyFont="1" applyFill="1" applyBorder="1"/>
    <xf numFmtId="0" fontId="104" fillId="0" borderId="21" xfId="433" applyFont="1" applyFill="1" applyBorder="1" applyAlignment="1">
      <alignment horizontal="center" vertical="top"/>
    </xf>
    <xf numFmtId="0" fontId="104" fillId="0" borderId="21" xfId="433" applyFont="1" applyFill="1" applyBorder="1" applyAlignment="1">
      <alignment horizontal="center"/>
    </xf>
    <xf numFmtId="0" fontId="104" fillId="0" borderId="21" xfId="0" applyFont="1" applyFill="1" applyBorder="1" applyAlignment="1">
      <alignment horizontal="center"/>
    </xf>
    <xf numFmtId="0" fontId="285" fillId="0" borderId="19" xfId="0" applyFont="1" applyFill="1" applyBorder="1" applyAlignment="1">
      <alignment horizontal="center"/>
    </xf>
    <xf numFmtId="0" fontId="223" fillId="0" borderId="15" xfId="0" applyFont="1" applyFill="1" applyBorder="1" applyAlignment="1">
      <alignment horizontal="center"/>
    </xf>
    <xf numFmtId="0" fontId="8" fillId="62" borderId="0" xfId="427" applyFont="1" applyFill="1" applyAlignment="1"/>
    <xf numFmtId="0" fontId="0" fillId="62" borderId="0" xfId="0" applyFill="1" applyBorder="1" applyAlignment="1">
      <alignment horizontal="center"/>
    </xf>
    <xf numFmtId="0" fontId="121" fillId="0" borderId="21" xfId="0" applyNumberFormat="1" applyFont="1" applyFill="1" applyBorder="1" applyAlignment="1">
      <alignment horizontal="center"/>
    </xf>
    <xf numFmtId="0" fontId="201" fillId="0" borderId="20" xfId="0" applyFont="1" applyFill="1" applyBorder="1" applyAlignment="1">
      <alignment horizontal="center"/>
    </xf>
    <xf numFmtId="0" fontId="340" fillId="62" borderId="0" xfId="0" applyFont="1" applyFill="1" applyBorder="1"/>
    <xf numFmtId="0" fontId="250" fillId="62" borderId="0" xfId="0" applyFont="1" applyFill="1" applyBorder="1"/>
    <xf numFmtId="0" fontId="250" fillId="62" borderId="0" xfId="0" applyFont="1" applyFill="1"/>
    <xf numFmtId="0" fontId="227" fillId="0" borderId="21" xfId="0" applyFont="1" applyFill="1" applyBorder="1"/>
    <xf numFmtId="0" fontId="285" fillId="0" borderId="21" xfId="0" applyFont="1" applyFill="1" applyBorder="1"/>
    <xf numFmtId="0" fontId="285" fillId="0" borderId="0" xfId="0" applyFont="1" applyFill="1" applyBorder="1" applyAlignment="1">
      <alignment horizontal="left"/>
    </xf>
    <xf numFmtId="0" fontId="285" fillId="0" borderId="0" xfId="0" applyFont="1" applyFill="1" applyBorder="1"/>
    <xf numFmtId="170" fontId="285" fillId="0" borderId="0" xfId="0" applyNumberFormat="1" applyFont="1" applyFill="1" applyBorder="1" applyAlignment="1">
      <alignment horizontal="left"/>
    </xf>
    <xf numFmtId="14" fontId="94" fillId="0" borderId="35" xfId="442" quotePrefix="1" applyNumberFormat="1" applyFont="1" applyFill="1" applyBorder="1" applyAlignment="1">
      <alignment horizontal="center"/>
    </xf>
    <xf numFmtId="0" fontId="107" fillId="62" borderId="38" xfId="427" applyFont="1" applyFill="1" applyBorder="1" applyAlignment="1"/>
    <xf numFmtId="0" fontId="98" fillId="62" borderId="0" xfId="442" applyFont="1" applyFill="1" applyBorder="1"/>
    <xf numFmtId="0" fontId="341" fillId="62" borderId="0" xfId="0" applyFont="1" applyFill="1" applyBorder="1"/>
    <xf numFmtId="0" fontId="0" fillId="62" borderId="40" xfId="0" applyFill="1" applyBorder="1"/>
    <xf numFmtId="0" fontId="0" fillId="62" borderId="39" xfId="0" applyFill="1" applyBorder="1"/>
    <xf numFmtId="0" fontId="51" fillId="62" borderId="34" xfId="442" applyFont="1" applyFill="1" applyBorder="1" applyAlignment="1">
      <alignment horizontal="center" vertical="center" wrapText="1"/>
    </xf>
    <xf numFmtId="0" fontId="0" fillId="0" borderId="39" xfId="0" applyFill="1" applyBorder="1"/>
    <xf numFmtId="168" fontId="201" fillId="65" borderId="22" xfId="0" applyNumberFormat="1" applyFont="1" applyFill="1" applyBorder="1" applyAlignment="1">
      <alignment horizontal="center"/>
    </xf>
    <xf numFmtId="1" fontId="247" fillId="0" borderId="34" xfId="435" applyNumberFormat="1" applyFont="1" applyFill="1" applyBorder="1" applyAlignment="1">
      <alignment horizontal="center"/>
    </xf>
    <xf numFmtId="1" fontId="247" fillId="62" borderId="17" xfId="435" applyNumberFormat="1" applyFont="1" applyFill="1" applyBorder="1" applyAlignment="1">
      <alignment horizontal="center"/>
    </xf>
    <xf numFmtId="1" fontId="247" fillId="62" borderId="19" xfId="435" applyNumberFormat="1" applyFont="1" applyFill="1" applyBorder="1" applyAlignment="1">
      <alignment horizontal="center"/>
    </xf>
    <xf numFmtId="0" fontId="260" fillId="64" borderId="35" xfId="0" applyFont="1" applyFill="1" applyBorder="1" applyAlignment="1">
      <alignment horizontal="center"/>
    </xf>
    <xf numFmtId="170" fontId="229" fillId="64" borderId="35" xfId="437" applyNumberFormat="1" applyFont="1" applyFill="1" applyBorder="1" applyAlignment="1">
      <alignment horizontal="center"/>
    </xf>
    <xf numFmtId="0" fontId="0" fillId="0" borderId="81" xfId="0" applyFill="1" applyBorder="1"/>
    <xf numFmtId="0" fontId="46" fillId="0" borderId="81" xfId="0" applyFont="1" applyFill="1" applyBorder="1"/>
    <xf numFmtId="0" fontId="0" fillId="0" borderId="81" xfId="0" applyFont="1" applyFill="1" applyBorder="1"/>
    <xf numFmtId="0" fontId="104" fillId="0" borderId="22" xfId="427" applyFont="1" applyFill="1" applyBorder="1"/>
    <xf numFmtId="0" fontId="104" fillId="0" borderId="15" xfId="427" applyFont="1" applyFill="1" applyBorder="1"/>
    <xf numFmtId="0" fontId="104" fillId="0" borderId="16" xfId="427" applyFont="1" applyFill="1" applyBorder="1"/>
    <xf numFmtId="0" fontId="175" fillId="0" borderId="21" xfId="428" applyFont="1" applyFill="1" applyBorder="1"/>
    <xf numFmtId="0" fontId="104" fillId="0" borderId="0" xfId="427" applyFont="1" applyFill="1" applyBorder="1"/>
    <xf numFmtId="0" fontId="104" fillId="0" borderId="17" xfId="427" applyFont="1" applyFill="1" applyBorder="1"/>
    <xf numFmtId="0" fontId="54" fillId="0" borderId="21" xfId="427" applyFont="1" applyFill="1" applyBorder="1" applyAlignment="1">
      <alignment horizontal="center"/>
    </xf>
    <xf numFmtId="0" fontId="54" fillId="0" borderId="0" xfId="427" applyFont="1" applyFill="1" applyBorder="1" applyAlignment="1">
      <alignment horizontal="center"/>
    </xf>
    <xf numFmtId="0" fontId="54" fillId="0" borderId="18" xfId="427" applyFont="1" applyFill="1" applyBorder="1" applyAlignment="1">
      <alignment horizontal="center"/>
    </xf>
    <xf numFmtId="2" fontId="94" fillId="0" borderId="35" xfId="427" quotePrefix="1" applyNumberFormat="1" applyFont="1" applyFill="1" applyBorder="1" applyAlignment="1">
      <alignment horizontal="center" vertical="center"/>
    </xf>
    <xf numFmtId="0" fontId="46" fillId="0" borderId="21" xfId="427" applyFont="1" applyFill="1" applyBorder="1" applyAlignment="1">
      <alignment horizontal="right"/>
    </xf>
    <xf numFmtId="0" fontId="291" fillId="0" borderId="0" xfId="427" applyFont="1" applyFill="1" applyBorder="1"/>
    <xf numFmtId="0" fontId="104" fillId="0" borderId="21" xfId="427" applyFont="1" applyFill="1" applyBorder="1"/>
    <xf numFmtId="2" fontId="94" fillId="0" borderId="35" xfId="427" quotePrefix="1" applyNumberFormat="1" applyFont="1" applyFill="1" applyBorder="1" applyAlignment="1">
      <alignment horizontal="left" vertical="center"/>
    </xf>
    <xf numFmtId="167" fontId="94" fillId="0" borderId="38" xfId="427" quotePrefix="1" applyNumberFormat="1" applyFont="1" applyFill="1" applyBorder="1" applyAlignment="1">
      <alignment horizontal="left" vertical="center"/>
    </xf>
    <xf numFmtId="167" fontId="289" fillId="0" borderId="46" xfId="427" quotePrefix="1" applyNumberFormat="1" applyFont="1" applyFill="1" applyBorder="1" applyAlignment="1">
      <alignment horizontal="center" vertical="center"/>
    </xf>
    <xf numFmtId="0" fontId="46" fillId="0" borderId="21" xfId="427" applyFont="1" applyFill="1" applyBorder="1" applyAlignment="1">
      <alignment horizontal="left"/>
    </xf>
    <xf numFmtId="0" fontId="104" fillId="0" borderId="20" xfId="427" applyFont="1" applyFill="1" applyBorder="1"/>
    <xf numFmtId="0" fontId="104" fillId="0" borderId="18" xfId="427" applyFont="1" applyFill="1" applyBorder="1"/>
    <xf numFmtId="0" fontId="104" fillId="0" borderId="19" xfId="427" applyFont="1" applyFill="1" applyBorder="1"/>
    <xf numFmtId="0" fontId="94" fillId="66" borderId="35" xfId="427" applyFont="1" applyFill="1" applyBorder="1" applyAlignment="1">
      <alignment horizontal="center" vertical="center"/>
    </xf>
    <xf numFmtId="0" fontId="342" fillId="0" borderId="0" xfId="427" quotePrefix="1" applyFont="1" applyFill="1" applyBorder="1"/>
    <xf numFmtId="2" fontId="257" fillId="0" borderId="35" xfId="427" quotePrefix="1" applyNumberFormat="1" applyFont="1" applyFill="1" applyBorder="1" applyAlignment="1">
      <alignment horizontal="center" vertical="center"/>
    </xf>
    <xf numFmtId="0" fontId="142" fillId="0" borderId="81" xfId="0" applyFont="1" applyFill="1" applyBorder="1" applyAlignment="1">
      <alignment horizontal="left"/>
    </xf>
    <xf numFmtId="0" fontId="153" fillId="0" borderId="81" xfId="0" applyFont="1" applyFill="1" applyBorder="1" applyAlignment="1">
      <alignment horizontal="center"/>
    </xf>
    <xf numFmtId="0" fontId="99" fillId="0" borderId="81" xfId="0" applyFont="1" applyFill="1" applyBorder="1"/>
    <xf numFmtId="0" fontId="99" fillId="0" borderId="81" xfId="527" applyFont="1" applyFill="1" applyBorder="1" applyAlignment="1" applyProtection="1">
      <alignment horizontal="left"/>
      <protection hidden="1"/>
    </xf>
    <xf numFmtId="0" fontId="99" fillId="0" borderId="81" xfId="527" applyFont="1" applyFill="1" applyBorder="1" applyAlignment="1" applyProtection="1">
      <alignment horizontal="center"/>
      <protection hidden="1"/>
    </xf>
    <xf numFmtId="0" fontId="121" fillId="0" borderId="81" xfId="0" quotePrefix="1" applyFont="1" applyFill="1" applyBorder="1" applyAlignment="1">
      <alignment horizontal="left" vertical="center"/>
    </xf>
    <xf numFmtId="173" fontId="99" fillId="0" borderId="81" xfId="527" applyNumberFormat="1" applyFont="1" applyFill="1" applyBorder="1" applyAlignment="1" applyProtection="1">
      <alignment horizontal="left"/>
      <protection hidden="1"/>
    </xf>
    <xf numFmtId="168" fontId="127" fillId="0" borderId="81" xfId="0" applyNumberFormat="1" applyFont="1" applyFill="1" applyBorder="1" applyAlignment="1">
      <alignment horizontal="center" vertical="center"/>
    </xf>
    <xf numFmtId="0" fontId="99" fillId="0" borderId="81" xfId="0" applyFont="1" applyFill="1" applyBorder="1" applyAlignment="1">
      <alignment horizontal="left"/>
    </xf>
    <xf numFmtId="0" fontId="142" fillId="0" borderId="81" xfId="0" applyFont="1" applyFill="1" applyBorder="1"/>
    <xf numFmtId="0" fontId="50" fillId="0" borderId="81" xfId="0" quotePrefix="1" applyFont="1" applyFill="1" applyBorder="1" applyAlignment="1">
      <alignment horizontal="left" vertical="center"/>
    </xf>
    <xf numFmtId="168" fontId="99" fillId="0" borderId="81" xfId="527" applyNumberFormat="1" applyFont="1" applyFill="1" applyBorder="1" applyAlignment="1" applyProtection="1">
      <alignment horizontal="center"/>
      <protection hidden="1"/>
    </xf>
    <xf numFmtId="0" fontId="104" fillId="0" borderId="81" xfId="0" applyFont="1" applyFill="1" applyBorder="1" applyAlignment="1">
      <alignment horizontal="left"/>
    </xf>
    <xf numFmtId="0" fontId="104" fillId="0" borderId="81" xfId="0" applyFont="1" applyFill="1" applyBorder="1"/>
    <xf numFmtId="0" fontId="50" fillId="0" borderId="81" xfId="428" applyFont="1" applyFill="1" applyBorder="1" applyAlignment="1">
      <alignment horizontal="left"/>
    </xf>
    <xf numFmtId="0" fontId="137" fillId="0" borderId="81" xfId="428" applyFont="1" applyFill="1" applyBorder="1"/>
    <xf numFmtId="0" fontId="261" fillId="62" borderId="0" xfId="0" quotePrefix="1" applyFont="1" applyFill="1"/>
    <xf numFmtId="0" fontId="261" fillId="62" borderId="35" xfId="0" applyFont="1" applyFill="1" applyBorder="1" applyAlignment="1">
      <alignment horizontal="center"/>
    </xf>
    <xf numFmtId="0" fontId="343" fillId="62" borderId="0" xfId="0" applyFont="1" applyFill="1" applyBorder="1"/>
    <xf numFmtId="0" fontId="228" fillId="0" borderId="20" xfId="437" quotePrefix="1" applyFont="1" applyFill="1" applyBorder="1" applyAlignment="1">
      <alignment horizontal="left"/>
    </xf>
    <xf numFmtId="172" fontId="201" fillId="62" borderId="0" xfId="437" applyNumberFormat="1" applyFill="1" applyAlignment="1">
      <alignment horizontal="center"/>
    </xf>
    <xf numFmtId="172" fontId="201" fillId="62" borderId="0" xfId="437" applyNumberFormat="1" applyFill="1" applyBorder="1" applyAlignment="1">
      <alignment horizontal="center"/>
    </xf>
    <xf numFmtId="167" fontId="35" fillId="0" borderId="17" xfId="432" quotePrefix="1" applyNumberFormat="1" applyFont="1" applyFill="1" applyBorder="1" applyAlignment="1">
      <alignment horizontal="center"/>
    </xf>
    <xf numFmtId="0" fontId="35" fillId="62" borderId="0" xfId="432" quotePrefix="1" applyFont="1" applyFill="1" applyBorder="1" applyAlignment="1">
      <alignment horizontal="center"/>
    </xf>
    <xf numFmtId="0" fontId="201" fillId="0" borderId="0" xfId="437" applyFill="1" applyBorder="1" applyAlignment="1">
      <alignment horizontal="left"/>
    </xf>
    <xf numFmtId="167" fontId="201" fillId="0" borderId="0" xfId="437" applyNumberFormat="1" applyFill="1" applyBorder="1" applyAlignment="1">
      <alignment horizontal="left"/>
    </xf>
    <xf numFmtId="0" fontId="201" fillId="0" borderId="18" xfId="437" applyFill="1" applyBorder="1" applyAlignment="1">
      <alignment horizontal="left"/>
    </xf>
    <xf numFmtId="178" fontId="228" fillId="0" borderId="21" xfId="437" applyNumberFormat="1" applyFont="1" applyFill="1" applyBorder="1" applyAlignment="1">
      <alignment horizontal="center"/>
    </xf>
    <xf numFmtId="167" fontId="201" fillId="0" borderId="0" xfId="437" applyNumberFormat="1" applyFont="1" applyFill="1" applyBorder="1" applyAlignment="1">
      <alignment horizontal="center"/>
    </xf>
    <xf numFmtId="178" fontId="201" fillId="0" borderId="21" xfId="437" applyNumberFormat="1" applyFont="1" applyFill="1" applyBorder="1" applyAlignment="1">
      <alignment horizontal="center"/>
    </xf>
    <xf numFmtId="178" fontId="201" fillId="0" borderId="21" xfId="437" applyNumberFormat="1" applyFill="1" applyBorder="1" applyAlignment="1">
      <alignment horizontal="center"/>
    </xf>
    <xf numFmtId="172" fontId="201" fillId="0" borderId="0" xfId="437" applyNumberFormat="1" applyFont="1" applyFill="1" applyBorder="1" applyAlignment="1">
      <alignment horizontal="center"/>
    </xf>
    <xf numFmtId="172" fontId="201" fillId="0" borderId="0" xfId="437" applyNumberFormat="1" applyFill="1" applyBorder="1" applyAlignment="1">
      <alignment horizontal="center"/>
    </xf>
    <xf numFmtId="14" fontId="234" fillId="0" borderId="17" xfId="437" applyNumberFormat="1" applyFont="1" applyFill="1" applyBorder="1" applyAlignment="1">
      <alignment horizontal="left"/>
    </xf>
    <xf numFmtId="0" fontId="229" fillId="65" borderId="0" xfId="437" applyFont="1" applyFill="1"/>
    <xf numFmtId="14" fontId="46" fillId="0" borderId="21" xfId="442" applyNumberFormat="1" applyFont="1" applyFill="1" applyBorder="1" applyAlignment="1"/>
    <xf numFmtId="14" fontId="46" fillId="0" borderId="20" xfId="442" applyNumberFormat="1" applyFont="1" applyFill="1" applyBorder="1" applyAlignment="1"/>
    <xf numFmtId="0" fontId="0" fillId="0" borderId="0" xfId="0" applyFill="1" applyBorder="1" applyAlignment="1">
      <alignment horizontal="center"/>
    </xf>
    <xf numFmtId="0" fontId="285" fillId="0" borderId="15" xfId="0" quotePrefix="1" applyFont="1" applyFill="1" applyBorder="1"/>
    <xf numFmtId="0" fontId="315" fillId="0" borderId="15" xfId="0" quotePrefix="1" applyFont="1" applyFill="1" applyBorder="1"/>
    <xf numFmtId="167" fontId="315" fillId="0" borderId="0" xfId="0" applyNumberFormat="1" applyFont="1" applyFill="1" applyBorder="1" applyAlignment="1">
      <alignment horizontal="center"/>
    </xf>
    <xf numFmtId="0" fontId="242" fillId="0" borderId="0" xfId="0" applyFont="1" applyFill="1" applyBorder="1"/>
    <xf numFmtId="0" fontId="242" fillId="0" borderId="21" xfId="0" applyFont="1" applyFill="1" applyBorder="1"/>
    <xf numFmtId="0" fontId="0" fillId="66" borderId="35" xfId="0" applyFill="1" applyBorder="1"/>
    <xf numFmtId="0" fontId="285" fillId="0" borderId="21" xfId="0" quotePrefix="1" applyFont="1" applyFill="1" applyBorder="1"/>
    <xf numFmtId="0" fontId="344" fillId="0" borderId="0" xfId="0" applyFont="1" applyFill="1" applyBorder="1"/>
    <xf numFmtId="0" fontId="345" fillId="62" borderId="0" xfId="437" applyFont="1" applyFill="1"/>
    <xf numFmtId="167" fontId="46" fillId="64" borderId="35" xfId="427" applyNumberFormat="1" applyFont="1" applyFill="1" applyBorder="1" applyAlignment="1">
      <alignment horizontal="left"/>
    </xf>
    <xf numFmtId="0" fontId="0" fillId="0" borderId="0" xfId="0" applyFill="1" applyAlignment="1">
      <alignment horizontal="center"/>
    </xf>
    <xf numFmtId="14" fontId="285" fillId="0" borderId="0" xfId="0" applyNumberFormat="1" applyFont="1" applyFill="1" applyBorder="1" applyAlignment="1">
      <alignment horizontal="center"/>
    </xf>
    <xf numFmtId="0" fontId="245" fillId="64" borderId="40" xfId="0" applyFont="1" applyFill="1" applyBorder="1" applyAlignment="1">
      <alignment horizontal="center"/>
    </xf>
    <xf numFmtId="0" fontId="285" fillId="0" borderId="15" xfId="0" applyFont="1" applyFill="1" applyBorder="1"/>
    <xf numFmtId="0" fontId="261" fillId="0" borderId="15" xfId="0" applyFont="1" applyFill="1" applyBorder="1"/>
    <xf numFmtId="0" fontId="261" fillId="0" borderId="16" xfId="0" applyFont="1" applyFill="1" applyBorder="1"/>
    <xf numFmtId="0" fontId="261" fillId="0" borderId="0" xfId="0" applyFont="1" applyFill="1" applyBorder="1"/>
    <xf numFmtId="0" fontId="261" fillId="0" borderId="17" xfId="0" applyFont="1" applyFill="1" applyBorder="1"/>
    <xf numFmtId="0" fontId="285" fillId="0" borderId="17" xfId="0" applyFont="1" applyFill="1" applyBorder="1"/>
    <xf numFmtId="0" fontId="285" fillId="0" borderId="20" xfId="0" applyFont="1" applyFill="1" applyBorder="1"/>
    <xf numFmtId="0" fontId="285" fillId="0" borderId="18" xfId="0" applyFont="1" applyFill="1" applyBorder="1"/>
    <xf numFmtId="0" fontId="285" fillId="0" borderId="19" xfId="0" applyFont="1" applyFill="1" applyBorder="1"/>
    <xf numFmtId="0" fontId="245" fillId="0" borderId="21" xfId="0" quotePrefix="1" applyFont="1" applyFill="1" applyBorder="1"/>
    <xf numFmtId="0" fontId="349" fillId="0" borderId="21" xfId="435" applyFont="1" applyFill="1" applyBorder="1" applyAlignment="1">
      <alignment horizontal="center"/>
    </xf>
    <xf numFmtId="0" fontId="257" fillId="0" borderId="40" xfId="435" quotePrefix="1" applyFont="1" applyFill="1" applyBorder="1" applyAlignment="1">
      <alignment horizontal="left"/>
    </xf>
    <xf numFmtId="0" fontId="257" fillId="0" borderId="34" xfId="435" quotePrefix="1" applyFont="1" applyFill="1" applyBorder="1" applyAlignment="1">
      <alignment horizontal="left"/>
    </xf>
    <xf numFmtId="0" fontId="112" fillId="0" borderId="34" xfId="435" applyFont="1" applyFill="1" applyBorder="1" applyAlignment="1">
      <alignment horizontal="left"/>
    </xf>
    <xf numFmtId="0" fontId="112" fillId="0" borderId="39" xfId="435" applyFont="1" applyFill="1" applyBorder="1" applyAlignment="1">
      <alignment horizontal="left"/>
    </xf>
    <xf numFmtId="168" fontId="0" fillId="0" borderId="19" xfId="0" applyNumberFormat="1" applyFill="1" applyBorder="1" applyAlignment="1">
      <alignment horizontal="center"/>
    </xf>
    <xf numFmtId="167" fontId="46" fillId="64" borderId="92" xfId="442" applyNumberFormat="1" applyFont="1" applyFill="1" applyBorder="1" applyAlignment="1">
      <alignment horizontal="center"/>
    </xf>
    <xf numFmtId="0" fontId="99" fillId="64" borderId="93" xfId="442" applyNumberFormat="1" applyFont="1" applyFill="1" applyBorder="1" applyAlignment="1">
      <alignment horizontal="center"/>
    </xf>
    <xf numFmtId="14" fontId="0" fillId="62" borderId="0" xfId="0" applyNumberFormat="1" applyFill="1" applyBorder="1"/>
    <xf numFmtId="0" fontId="99" fillId="64" borderId="94" xfId="442" applyNumberFormat="1" applyFont="1" applyFill="1" applyBorder="1" applyAlignment="1">
      <alignment horizontal="center"/>
    </xf>
    <xf numFmtId="167" fontId="46" fillId="64" borderId="95" xfId="442" applyNumberFormat="1" applyFont="1" applyFill="1" applyBorder="1" applyAlignment="1">
      <alignment horizontal="center"/>
    </xf>
    <xf numFmtId="0" fontId="230" fillId="62" borderId="38" xfId="0" applyFont="1" applyFill="1" applyBorder="1"/>
    <xf numFmtId="0" fontId="338" fillId="62" borderId="45" xfId="0" applyFont="1" applyFill="1" applyBorder="1"/>
    <xf numFmtId="0" fontId="230" fillId="62" borderId="45" xfId="0" applyFont="1" applyFill="1" applyBorder="1"/>
    <xf numFmtId="0" fontId="230" fillId="62" borderId="46" xfId="0" applyFont="1" applyFill="1" applyBorder="1"/>
    <xf numFmtId="0" fontId="328" fillId="62" borderId="0" xfId="437" applyFont="1" applyFill="1" applyAlignment="1">
      <alignment horizontal="left"/>
    </xf>
    <xf numFmtId="0" fontId="203" fillId="62" borderId="0" xfId="437" applyFont="1" applyFill="1" applyBorder="1"/>
    <xf numFmtId="0" fontId="7" fillId="62" borderId="0" xfId="0" applyFont="1" applyFill="1" applyBorder="1" applyAlignment="1">
      <alignment horizontal="left" vertical="center"/>
    </xf>
    <xf numFmtId="0" fontId="7" fillId="62" borderId="0" xfId="0" applyFont="1" applyFill="1" applyBorder="1" applyAlignment="1">
      <alignment horizontal="left"/>
    </xf>
    <xf numFmtId="0" fontId="7" fillId="62" borderId="0" xfId="0" applyFont="1" applyFill="1" applyBorder="1"/>
    <xf numFmtId="0" fontId="7" fillId="62" borderId="0" xfId="0" applyFont="1" applyFill="1" applyBorder="1" applyAlignment="1">
      <alignment vertical="top"/>
    </xf>
    <xf numFmtId="0" fontId="7" fillId="62" borderId="0" xfId="0" applyFont="1" applyFill="1" applyBorder="1" applyAlignment="1">
      <alignment vertical="center"/>
    </xf>
    <xf numFmtId="0" fontId="245" fillId="62" borderId="0" xfId="0" applyFont="1" applyFill="1" applyBorder="1" applyAlignment="1">
      <alignment vertical="center"/>
    </xf>
    <xf numFmtId="0" fontId="350" fillId="62" borderId="0" xfId="0" applyFont="1" applyFill="1" applyBorder="1" applyAlignment="1">
      <alignment horizontal="left" vertical="center"/>
    </xf>
    <xf numFmtId="0" fontId="351" fillId="62" borderId="0" xfId="0" applyFont="1" applyFill="1" applyBorder="1"/>
    <xf numFmtId="0" fontId="0" fillId="62" borderId="97" xfId="0" applyFill="1" applyBorder="1"/>
    <xf numFmtId="0" fontId="285" fillId="62" borderId="97" xfId="0" quotePrefix="1" applyFont="1" applyFill="1" applyBorder="1"/>
    <xf numFmtId="0" fontId="0" fillId="62" borderId="97" xfId="0" applyFill="1" applyBorder="1" applyAlignment="1">
      <alignment horizontal="center"/>
    </xf>
    <xf numFmtId="0" fontId="0" fillId="62" borderId="97" xfId="0" applyFill="1" applyBorder="1" applyAlignment="1">
      <alignment horizontal="left"/>
    </xf>
    <xf numFmtId="167" fontId="285" fillId="62" borderId="97" xfId="0" applyNumberFormat="1" applyFont="1" applyFill="1" applyBorder="1" applyAlignment="1">
      <alignment horizontal="center"/>
    </xf>
    <xf numFmtId="167" fontId="0" fillId="62" borderId="97" xfId="0" applyNumberFormat="1" applyFill="1" applyBorder="1" applyAlignment="1">
      <alignment horizontal="center"/>
    </xf>
    <xf numFmtId="167" fontId="0" fillId="62" borderId="97" xfId="0" applyNumberFormat="1" applyFill="1" applyBorder="1"/>
    <xf numFmtId="0" fontId="0" fillId="62" borderId="96" xfId="0" applyFill="1" applyBorder="1"/>
    <xf numFmtId="0" fontId="239" fillId="62" borderId="96" xfId="0" applyFont="1" applyFill="1" applyBorder="1"/>
    <xf numFmtId="0" fontId="0" fillId="62" borderId="98" xfId="0" applyFill="1" applyBorder="1"/>
    <xf numFmtId="0" fontId="0" fillId="62" borderId="99" xfId="0" applyFill="1" applyBorder="1"/>
    <xf numFmtId="0" fontId="0" fillId="62" borderId="100" xfId="0" applyFill="1" applyBorder="1"/>
    <xf numFmtId="0" fontId="0" fillId="62" borderId="101" xfId="0" applyFill="1" applyBorder="1"/>
    <xf numFmtId="0" fontId="223" fillId="62" borderId="0" xfId="0" applyFont="1" applyFill="1" applyBorder="1"/>
    <xf numFmtId="0" fontId="261" fillId="62" borderId="0" xfId="0" applyFont="1" applyFill="1" applyBorder="1"/>
    <xf numFmtId="0" fontId="271" fillId="0" borderId="0" xfId="0" applyFont="1" applyFill="1" applyBorder="1"/>
    <xf numFmtId="172" fontId="251" fillId="0" borderId="0" xfId="472" applyNumberFormat="1" applyFont="1" applyFill="1" applyBorder="1" applyAlignment="1">
      <alignment horizontal="center"/>
    </xf>
    <xf numFmtId="1" fontId="322" fillId="0" borderId="0" xfId="472" applyNumberFormat="1" applyFont="1" applyFill="1" applyBorder="1" applyAlignment="1">
      <alignment horizontal="center"/>
    </xf>
    <xf numFmtId="172" fontId="322" fillId="0" borderId="0" xfId="472" applyNumberFormat="1" applyFont="1" applyFill="1" applyBorder="1" applyAlignment="1">
      <alignment horizontal="center"/>
    </xf>
    <xf numFmtId="0" fontId="322" fillId="0" borderId="0" xfId="0" applyFont="1" applyFill="1" applyBorder="1"/>
    <xf numFmtId="0" fontId="322" fillId="0" borderId="0" xfId="0" quotePrefix="1" applyFont="1" applyFill="1" applyBorder="1"/>
    <xf numFmtId="167" fontId="251" fillId="0" borderId="17" xfId="0" applyNumberFormat="1" applyFont="1" applyFill="1" applyBorder="1" applyAlignment="1"/>
    <xf numFmtId="0" fontId="251" fillId="0" borderId="0" xfId="0" quotePrefix="1" applyFont="1" applyFill="1" applyBorder="1"/>
    <xf numFmtId="168" fontId="251" fillId="0" borderId="0" xfId="0" applyNumberFormat="1" applyFont="1" applyFill="1" applyBorder="1" applyAlignment="1">
      <alignment horizontal="center"/>
    </xf>
    <xf numFmtId="172" fontId="46" fillId="0" borderId="0" xfId="472" applyNumberFormat="1" applyFont="1" applyFill="1" applyBorder="1" applyAlignment="1">
      <alignment horizontal="center"/>
    </xf>
    <xf numFmtId="1" fontId="46" fillId="0" borderId="0" xfId="472" applyNumberFormat="1" applyFont="1" applyFill="1" applyBorder="1" applyAlignment="1">
      <alignment horizontal="center"/>
    </xf>
    <xf numFmtId="171" fontId="248" fillId="0" borderId="0" xfId="472" applyNumberFormat="1" applyFont="1" applyFill="1" applyBorder="1" applyAlignment="1">
      <alignment horizontal="center"/>
    </xf>
    <xf numFmtId="167" fontId="99" fillId="62" borderId="0" xfId="0" applyNumberFormat="1" applyFont="1" applyFill="1" applyBorder="1" applyAlignment="1"/>
    <xf numFmtId="0" fontId="91" fillId="62" borderId="0" xfId="0" applyFont="1" applyFill="1" applyBorder="1"/>
    <xf numFmtId="0" fontId="251" fillId="0" borderId="0" xfId="0" applyFont="1" applyFill="1" applyBorder="1" applyAlignment="1">
      <alignment horizontal="center"/>
    </xf>
    <xf numFmtId="0" fontId="290" fillId="0" borderId="0" xfId="432" quotePrefix="1" applyFont="1" applyFill="1" applyBorder="1"/>
    <xf numFmtId="0" fontId="251" fillId="0" borderId="22" xfId="0" applyFont="1" applyFill="1" applyBorder="1"/>
    <xf numFmtId="0" fontId="251" fillId="0" borderId="21" xfId="0" quotePrefix="1" applyFont="1" applyFill="1" applyBorder="1"/>
    <xf numFmtId="14" fontId="290" fillId="0" borderId="1" xfId="432" applyNumberFormat="1" applyFont="1" applyFill="1" applyBorder="1" applyAlignment="1">
      <alignment horizontal="center" vertical="center"/>
    </xf>
    <xf numFmtId="22" fontId="50" fillId="0" borderId="21" xfId="0" quotePrefix="1" applyNumberFormat="1" applyFont="1" applyFill="1" applyBorder="1" applyAlignment="1">
      <alignment wrapText="1"/>
    </xf>
    <xf numFmtId="22" fontId="121" fillId="0" borderId="21" xfId="0" applyNumberFormat="1" applyFont="1" applyFill="1" applyBorder="1" applyAlignment="1">
      <alignment horizontal="center"/>
    </xf>
    <xf numFmtId="22" fontId="0" fillId="0" borderId="21" xfId="0" applyNumberFormat="1" applyFill="1" applyBorder="1" applyAlignment="1">
      <alignment horizontal="center"/>
    </xf>
    <xf numFmtId="22" fontId="142" fillId="0" borderId="21" xfId="0" applyNumberFormat="1" applyFont="1" applyFill="1" applyBorder="1" applyAlignment="1">
      <alignment horizontal="center"/>
    </xf>
    <xf numFmtId="22" fontId="227" fillId="0" borderId="20" xfId="0" quotePrefix="1" applyNumberFormat="1" applyFont="1" applyFill="1" applyBorder="1" applyAlignment="1">
      <alignment horizontal="center"/>
    </xf>
    <xf numFmtId="0" fontId="6" fillId="62" borderId="0" xfId="572" applyFill="1" applyAlignment="1">
      <alignment horizontal="left"/>
    </xf>
    <xf numFmtId="0" fontId="71" fillId="62" borderId="0" xfId="429" applyFont="1" applyFill="1" applyBorder="1" applyAlignment="1">
      <alignment horizontal="left"/>
    </xf>
    <xf numFmtId="0" fontId="6" fillId="62" borderId="0" xfId="572" applyFont="1" applyFill="1" applyBorder="1" applyAlignment="1">
      <alignment horizontal="left"/>
    </xf>
    <xf numFmtId="0" fontId="44" fillId="62" borderId="0" xfId="572" applyFont="1" applyFill="1" applyBorder="1" applyAlignment="1">
      <alignment horizontal="left"/>
    </xf>
    <xf numFmtId="0" fontId="6" fillId="62" borderId="0" xfId="572" applyFill="1" applyBorder="1" applyAlignment="1">
      <alignment horizontal="left"/>
    </xf>
    <xf numFmtId="0" fontId="271" fillId="62" borderId="0" xfId="572" applyFont="1" applyFill="1" applyBorder="1" applyAlignment="1">
      <alignment horizontal="left"/>
    </xf>
    <xf numFmtId="0" fontId="294" fillId="0" borderId="22" xfId="572" applyFont="1" applyFill="1" applyBorder="1" applyAlignment="1">
      <alignment horizontal="left"/>
    </xf>
    <xf numFmtId="0" fontId="6" fillId="0" borderId="15" xfId="572" applyFill="1" applyBorder="1" applyAlignment="1">
      <alignment horizontal="left"/>
    </xf>
    <xf numFmtId="0" fontId="6" fillId="0" borderId="16" xfId="572" applyFill="1" applyBorder="1" applyAlignment="1">
      <alignment horizontal="left"/>
    </xf>
    <xf numFmtId="0" fontId="6" fillId="0" borderId="21" xfId="572" applyFill="1" applyBorder="1" applyAlignment="1">
      <alignment horizontal="left"/>
    </xf>
    <xf numFmtId="0" fontId="250" fillId="0" borderId="0" xfId="572" quotePrefix="1" applyFont="1" applyFill="1" applyBorder="1" applyAlignment="1">
      <alignment horizontal="left"/>
    </xf>
    <xf numFmtId="0" fontId="6" fillId="0" borderId="0" xfId="572" applyFill="1" applyBorder="1" applyAlignment="1">
      <alignment horizontal="left"/>
    </xf>
    <xf numFmtId="0" fontId="6" fillId="0" borderId="21" xfId="572" applyFont="1" applyFill="1" applyBorder="1" applyAlignment="1">
      <alignment horizontal="left"/>
    </xf>
    <xf numFmtId="0" fontId="227" fillId="0" borderId="0" xfId="572" applyFont="1" applyFill="1" applyBorder="1" applyAlignment="1">
      <alignment horizontal="left"/>
    </xf>
    <xf numFmtId="0" fontId="229" fillId="0" borderId="0" xfId="572" applyFont="1" applyFill="1" applyBorder="1" applyAlignment="1">
      <alignment horizontal="left"/>
    </xf>
    <xf numFmtId="168" fontId="229" fillId="66" borderId="35" xfId="572" applyNumberFormat="1" applyFont="1" applyFill="1" applyBorder="1" applyAlignment="1">
      <alignment horizontal="left"/>
    </xf>
    <xf numFmtId="0" fontId="229" fillId="0" borderId="0" xfId="572" quotePrefix="1" applyFont="1" applyFill="1" applyBorder="1" applyAlignment="1">
      <alignment horizontal="left"/>
    </xf>
    <xf numFmtId="2" fontId="229" fillId="0" borderId="0" xfId="572" applyNumberFormat="1" applyFont="1" applyFill="1" applyBorder="1" applyAlignment="1">
      <alignment horizontal="left"/>
    </xf>
    <xf numFmtId="3" fontId="229" fillId="0" borderId="0" xfId="572" applyNumberFormat="1" applyFont="1" applyFill="1" applyBorder="1" applyAlignment="1">
      <alignment horizontal="left"/>
    </xf>
    <xf numFmtId="171" fontId="229" fillId="0" borderId="0" xfId="572" applyNumberFormat="1" applyFont="1" applyFill="1" applyBorder="1" applyAlignment="1">
      <alignment horizontal="left"/>
    </xf>
    <xf numFmtId="0" fontId="229" fillId="66" borderId="35" xfId="572" applyFont="1" applyFill="1" applyBorder="1" applyAlignment="1">
      <alignment horizontal="left"/>
    </xf>
    <xf numFmtId="0" fontId="6" fillId="62" borderId="0" xfId="572" quotePrefix="1" applyFont="1" applyFill="1" applyBorder="1" applyAlignment="1">
      <alignment horizontal="left"/>
    </xf>
    <xf numFmtId="2" fontId="6" fillId="0" borderId="0" xfId="572" applyNumberFormat="1" applyFont="1" applyFill="1" applyBorder="1" applyAlignment="1">
      <alignment horizontal="left"/>
    </xf>
    <xf numFmtId="2" fontId="6" fillId="0" borderId="0" xfId="572" applyNumberFormat="1" applyFill="1" applyBorder="1" applyAlignment="1">
      <alignment horizontal="left"/>
    </xf>
    <xf numFmtId="3" fontId="6" fillId="0" borderId="0" xfId="572" applyNumberFormat="1" applyFill="1" applyBorder="1" applyAlignment="1">
      <alignment horizontal="left"/>
    </xf>
    <xf numFmtId="171" fontId="6" fillId="0" borderId="0" xfId="572" applyNumberFormat="1" applyFill="1" applyBorder="1" applyAlignment="1">
      <alignment horizontal="left"/>
    </xf>
    <xf numFmtId="178" fontId="6" fillId="0" borderId="0" xfId="572" applyNumberFormat="1" applyFill="1" applyBorder="1" applyAlignment="1">
      <alignment horizontal="left"/>
    </xf>
    <xf numFmtId="1" fontId="229" fillId="0" borderId="0" xfId="572" applyNumberFormat="1" applyFont="1" applyFill="1" applyBorder="1" applyAlignment="1">
      <alignment horizontal="left"/>
    </xf>
    <xf numFmtId="21" fontId="6" fillId="62" borderId="0" xfId="572" applyNumberFormat="1" applyFill="1" applyBorder="1" applyAlignment="1">
      <alignment horizontal="left"/>
    </xf>
    <xf numFmtId="0" fontId="6" fillId="0" borderId="20" xfId="572" applyFill="1" applyBorder="1" applyAlignment="1">
      <alignment horizontal="left"/>
    </xf>
    <xf numFmtId="0" fontId="6" fillId="0" borderId="18" xfId="572" applyFill="1" applyBorder="1" applyAlignment="1">
      <alignment horizontal="left"/>
    </xf>
    <xf numFmtId="0" fontId="230" fillId="62" borderId="0" xfId="572" applyFont="1" applyFill="1" applyBorder="1" applyAlignment="1">
      <alignment horizontal="left"/>
    </xf>
    <xf numFmtId="0" fontId="240" fillId="62" borderId="0" xfId="572" applyFont="1" applyFill="1" applyBorder="1" applyAlignment="1">
      <alignment horizontal="left"/>
    </xf>
    <xf numFmtId="0" fontId="228" fillId="62" borderId="0" xfId="572" quotePrefix="1" applyFont="1" applyFill="1" applyBorder="1" applyAlignment="1">
      <alignment horizontal="left"/>
    </xf>
    <xf numFmtId="0" fontId="228" fillId="62" borderId="0" xfId="572" applyFont="1" applyFill="1" applyBorder="1" applyAlignment="1">
      <alignment horizontal="left"/>
    </xf>
    <xf numFmtId="0" fontId="6" fillId="0" borderId="0" xfId="572" quotePrefix="1" applyFont="1" applyFill="1" applyBorder="1" applyAlignment="1">
      <alignment horizontal="left"/>
    </xf>
    <xf numFmtId="20" fontId="6" fillId="0" borderId="21" xfId="572" quotePrefix="1" applyNumberFormat="1" applyFont="1" applyFill="1" applyBorder="1" applyAlignment="1">
      <alignment horizontal="left"/>
    </xf>
    <xf numFmtId="0" fontId="248" fillId="0" borderId="0" xfId="572" quotePrefix="1" applyFont="1" applyFill="1" applyBorder="1" applyAlignment="1">
      <alignment horizontal="left"/>
    </xf>
    <xf numFmtId="0" fontId="250" fillId="0" borderId="0" xfId="572" applyFont="1" applyFill="1" applyBorder="1" applyAlignment="1">
      <alignment horizontal="center"/>
    </xf>
    <xf numFmtId="0" fontId="6" fillId="0" borderId="0" xfId="572" applyFont="1" applyFill="1" applyBorder="1" applyAlignment="1">
      <alignment horizontal="left"/>
    </xf>
    <xf numFmtId="0" fontId="230" fillId="0" borderId="0" xfId="572" applyFont="1" applyFill="1" applyBorder="1" applyAlignment="1">
      <alignment horizontal="left"/>
    </xf>
    <xf numFmtId="0" fontId="227" fillId="0" borderId="0" xfId="572" quotePrefix="1" applyFont="1" applyFill="1" applyBorder="1" applyAlignment="1">
      <alignment horizontal="left"/>
    </xf>
    <xf numFmtId="0" fontId="352" fillId="0" borderId="0" xfId="572" quotePrefix="1" applyFont="1" applyFill="1" applyBorder="1" applyAlignment="1">
      <alignment horizontal="left"/>
    </xf>
    <xf numFmtId="0" fontId="352" fillId="0" borderId="0" xfId="572" applyFont="1" applyFill="1" applyBorder="1" applyAlignment="1">
      <alignment horizontal="left"/>
    </xf>
    <xf numFmtId="2" fontId="225" fillId="0" borderId="0" xfId="572" quotePrefix="1" applyNumberFormat="1" applyFont="1" applyFill="1" applyBorder="1" applyAlignment="1">
      <alignment horizontal="left"/>
    </xf>
    <xf numFmtId="21" fontId="230" fillId="0" borderId="0" xfId="572" applyNumberFormat="1" applyFont="1" applyFill="1" applyBorder="1" applyAlignment="1">
      <alignment horizontal="left"/>
    </xf>
    <xf numFmtId="2" fontId="229" fillId="0" borderId="0" xfId="572" quotePrefix="1" applyNumberFormat="1" applyFont="1" applyFill="1" applyBorder="1" applyAlignment="1">
      <alignment horizontal="left"/>
    </xf>
    <xf numFmtId="21" fontId="241" fillId="0" borderId="0" xfId="572" applyNumberFormat="1" applyFont="1" applyFill="1" applyBorder="1" applyAlignment="1">
      <alignment horizontal="left"/>
    </xf>
    <xf numFmtId="2" fontId="6" fillId="0" borderId="0" xfId="572" quotePrefix="1" applyNumberFormat="1" applyFont="1" applyFill="1" applyBorder="1" applyAlignment="1">
      <alignment horizontal="left"/>
    </xf>
    <xf numFmtId="21" fontId="229" fillId="0" borderId="0" xfId="572" applyNumberFormat="1" applyFont="1" applyFill="1" applyBorder="1" applyAlignment="1">
      <alignment horizontal="left"/>
    </xf>
    <xf numFmtId="21" fontId="6" fillId="0" borderId="18" xfId="572" applyNumberFormat="1" applyFill="1" applyBorder="1" applyAlignment="1">
      <alignment horizontal="left"/>
    </xf>
    <xf numFmtId="0" fontId="353" fillId="62" borderId="0" xfId="572" applyFont="1" applyFill="1" applyBorder="1" applyAlignment="1">
      <alignment horizontal="left"/>
    </xf>
    <xf numFmtId="167" fontId="229" fillId="62" borderId="0" xfId="572" applyNumberFormat="1" applyFont="1" applyFill="1" applyBorder="1" applyAlignment="1">
      <alignment horizontal="left"/>
    </xf>
    <xf numFmtId="167" fontId="6" fillId="62" borderId="0" xfId="572" applyNumberFormat="1" applyFill="1" applyBorder="1" applyAlignment="1">
      <alignment horizontal="left"/>
    </xf>
    <xf numFmtId="0" fontId="242" fillId="62" borderId="0" xfId="572" applyFont="1" applyFill="1" applyBorder="1" applyAlignment="1">
      <alignment horizontal="left"/>
    </xf>
    <xf numFmtId="178" fontId="6" fillId="62" borderId="0" xfId="572" applyNumberFormat="1" applyFill="1" applyBorder="1" applyAlignment="1">
      <alignment horizontal="left"/>
    </xf>
    <xf numFmtId="0" fontId="6" fillId="62" borderId="0" xfId="572" quotePrefix="1" applyFill="1" applyBorder="1" applyAlignment="1">
      <alignment horizontal="left"/>
    </xf>
    <xf numFmtId="14" fontId="6" fillId="62" borderId="0" xfId="572" applyNumberFormat="1" applyFill="1" applyBorder="1" applyAlignment="1">
      <alignment horizontal="left"/>
    </xf>
    <xf numFmtId="14" fontId="6" fillId="62" borderId="0" xfId="572" quotePrefix="1" applyNumberFormat="1" applyFill="1" applyBorder="1" applyAlignment="1">
      <alignment horizontal="left"/>
    </xf>
    <xf numFmtId="0" fontId="0" fillId="62" borderId="0" xfId="0" applyFont="1" applyFill="1" applyBorder="1" applyAlignment="1">
      <alignment horizontal="left"/>
    </xf>
    <xf numFmtId="2" fontId="0" fillId="62" borderId="0" xfId="0" applyNumberFormat="1" applyFont="1" applyFill="1" applyBorder="1" applyAlignment="1">
      <alignment horizontal="left"/>
    </xf>
    <xf numFmtId="14" fontId="0" fillId="62" borderId="0" xfId="0" applyNumberFormat="1" applyFont="1" applyFill="1" applyBorder="1" applyAlignment="1">
      <alignment horizontal="left"/>
    </xf>
    <xf numFmtId="14" fontId="229" fillId="62" borderId="0" xfId="0" applyNumberFormat="1" applyFont="1" applyFill="1" applyBorder="1" applyAlignment="1">
      <alignment horizontal="left"/>
    </xf>
    <xf numFmtId="167" fontId="0" fillId="62" borderId="0" xfId="0" applyNumberFormat="1" applyFont="1" applyFill="1" applyBorder="1" applyAlignment="1">
      <alignment horizontal="left"/>
    </xf>
    <xf numFmtId="167" fontId="331" fillId="62" borderId="0" xfId="0" applyNumberFormat="1" applyFont="1" applyFill="1" applyBorder="1" applyAlignment="1">
      <alignment horizontal="left"/>
    </xf>
    <xf numFmtId="167" fontId="285" fillId="62" borderId="0" xfId="0" applyNumberFormat="1" applyFont="1" applyFill="1" applyBorder="1" applyAlignment="1">
      <alignment horizontal="left"/>
    </xf>
    <xf numFmtId="167" fontId="245" fillId="62" borderId="0" xfId="0" applyNumberFormat="1" applyFont="1" applyFill="1" applyBorder="1" applyAlignment="1">
      <alignment horizontal="left"/>
    </xf>
    <xf numFmtId="0" fontId="287" fillId="62" borderId="0" xfId="572" quotePrefix="1" applyFont="1" applyFill="1" applyBorder="1" applyAlignment="1">
      <alignment horizontal="left"/>
    </xf>
    <xf numFmtId="0" fontId="250" fillId="62" borderId="0" xfId="572" quotePrefix="1" applyFont="1" applyFill="1" applyBorder="1" applyAlignment="1">
      <alignment horizontal="left"/>
    </xf>
    <xf numFmtId="0" fontId="229" fillId="62" borderId="0" xfId="572" applyFont="1" applyFill="1" applyAlignment="1">
      <alignment horizontal="left"/>
    </xf>
    <xf numFmtId="0" fontId="46" fillId="62" borderId="0" xfId="0" applyFont="1" applyFill="1" applyAlignment="1">
      <alignment horizontal="left"/>
    </xf>
    <xf numFmtId="0" fontId="94" fillId="62" borderId="0" xfId="427" applyFont="1" applyFill="1" applyAlignment="1">
      <alignment horizontal="left"/>
    </xf>
    <xf numFmtId="0" fontId="294" fillId="0" borderId="22" xfId="437" applyFont="1" applyFill="1" applyBorder="1" applyAlignment="1">
      <alignment horizontal="left"/>
    </xf>
    <xf numFmtId="20" fontId="5" fillId="66" borderId="35" xfId="572" quotePrefix="1" applyNumberFormat="1" applyFont="1" applyFill="1" applyBorder="1" applyAlignment="1">
      <alignment horizontal="left"/>
    </xf>
    <xf numFmtId="0" fontId="251" fillId="0" borderId="0" xfId="572" quotePrefix="1" applyFont="1" applyFill="1" applyBorder="1" applyAlignment="1">
      <alignment horizontal="left"/>
    </xf>
    <xf numFmtId="14" fontId="354" fillId="62" borderId="0" xfId="572" quotePrefix="1" applyNumberFormat="1" applyFont="1" applyFill="1" applyBorder="1" applyAlignment="1">
      <alignment horizontal="left"/>
    </xf>
    <xf numFmtId="0" fontId="6" fillId="0" borderId="34" xfId="572" applyFill="1" applyBorder="1" applyAlignment="1">
      <alignment horizontal="left"/>
    </xf>
    <xf numFmtId="0" fontId="242" fillId="0" borderId="34" xfId="572" quotePrefix="1" applyFont="1" applyFill="1" applyBorder="1" applyAlignment="1">
      <alignment horizontal="left"/>
    </xf>
    <xf numFmtId="0" fontId="6" fillId="0" borderId="34" xfId="572" applyFont="1" applyFill="1" applyBorder="1" applyAlignment="1">
      <alignment horizontal="left"/>
    </xf>
    <xf numFmtId="0" fontId="6" fillId="0" borderId="39" xfId="572" applyFill="1" applyBorder="1" applyAlignment="1">
      <alignment horizontal="left"/>
    </xf>
    <xf numFmtId="0" fontId="229" fillId="0" borderId="34" xfId="572" applyFont="1" applyFill="1" applyBorder="1" applyAlignment="1">
      <alignment horizontal="left"/>
    </xf>
    <xf numFmtId="0" fontId="5" fillId="0" borderId="40" xfId="572" applyFont="1" applyFill="1" applyBorder="1" applyAlignment="1">
      <alignment horizontal="left"/>
    </xf>
    <xf numFmtId="0" fontId="229" fillId="0" borderId="40" xfId="572" applyFont="1" applyFill="1" applyBorder="1" applyAlignment="1">
      <alignment horizontal="left"/>
    </xf>
    <xf numFmtId="0" fontId="229" fillId="0" borderId="34" xfId="572" quotePrefix="1" applyFont="1" applyFill="1" applyBorder="1" applyAlignment="1">
      <alignment horizontal="left"/>
    </xf>
    <xf numFmtId="0" fontId="5" fillId="62" borderId="0" xfId="572" applyFont="1" applyFill="1" applyBorder="1" applyAlignment="1">
      <alignment horizontal="left"/>
    </xf>
    <xf numFmtId="22" fontId="46" fillId="0" borderId="22" xfId="0" applyNumberFormat="1" applyFont="1" applyFill="1" applyBorder="1" applyAlignment="1">
      <alignment horizontal="left"/>
    </xf>
    <xf numFmtId="0" fontId="355" fillId="0" borderId="40" xfId="0" applyFont="1" applyFill="1" applyBorder="1" applyAlignment="1">
      <alignment horizontal="center"/>
    </xf>
    <xf numFmtId="0" fontId="355" fillId="0" borderId="34" xfId="0" applyFont="1" applyFill="1" applyBorder="1" applyAlignment="1">
      <alignment horizontal="center"/>
    </xf>
    <xf numFmtId="4" fontId="355" fillId="0" borderId="34" xfId="0" applyNumberFormat="1" applyFont="1" applyFill="1" applyBorder="1" applyAlignment="1">
      <alignment horizontal="center"/>
    </xf>
    <xf numFmtId="4" fontId="129" fillId="0" borderId="34" xfId="0" applyNumberFormat="1" applyFont="1" applyFill="1" applyBorder="1" applyAlignment="1">
      <alignment horizontal="center"/>
    </xf>
    <xf numFmtId="4" fontId="129" fillId="0" borderId="39" xfId="0" applyNumberFormat="1" applyFont="1" applyFill="1" applyBorder="1" applyAlignment="1">
      <alignment horizontal="center"/>
    </xf>
    <xf numFmtId="0" fontId="331" fillId="62" borderId="0" xfId="0" applyFont="1" applyFill="1"/>
    <xf numFmtId="0" fontId="0" fillId="62" borderId="0" xfId="0" applyFont="1" applyFill="1" applyBorder="1" applyAlignment="1">
      <alignment horizontal="center"/>
    </xf>
    <xf numFmtId="0" fontId="46" fillId="62" borderId="0" xfId="0" applyNumberFormat="1" applyFont="1" applyFill="1" applyBorder="1" applyAlignment="1">
      <alignment horizontal="center"/>
    </xf>
    <xf numFmtId="0" fontId="50" fillId="62" borderId="0" xfId="0" applyFont="1" applyFill="1" applyBorder="1" applyAlignment="1">
      <alignment horizontal="right"/>
    </xf>
    <xf numFmtId="0" fontId="0" fillId="62" borderId="0" xfId="0" applyFont="1" applyFill="1" applyBorder="1" applyAlignment="1">
      <alignment horizontal="right"/>
    </xf>
    <xf numFmtId="0" fontId="50" fillId="62" borderId="0" xfId="0" quotePrefix="1" applyFont="1" applyFill="1" applyBorder="1" applyAlignment="1">
      <alignment horizontal="left"/>
    </xf>
    <xf numFmtId="0" fontId="50" fillId="62" borderId="0" xfId="0" applyFont="1" applyFill="1" applyBorder="1" applyAlignment="1">
      <alignment horizontal="left"/>
    </xf>
    <xf numFmtId="0" fontId="50" fillId="62" borderId="0" xfId="0" quotePrefix="1" applyFont="1" applyFill="1" applyBorder="1" applyAlignment="1">
      <alignment horizontal="center"/>
    </xf>
    <xf numFmtId="0" fontId="239" fillId="62" borderId="0" xfId="0" applyFont="1" applyFill="1" applyBorder="1"/>
    <xf numFmtId="0" fontId="264" fillId="0" borderId="0" xfId="0" applyFont="1" applyFill="1" applyBorder="1" applyAlignment="1"/>
    <xf numFmtId="171" fontId="227" fillId="0" borderId="0" xfId="0" applyNumberFormat="1" applyFont="1" applyFill="1" applyBorder="1" applyAlignment="1">
      <alignment horizontal="center"/>
    </xf>
    <xf numFmtId="171" fontId="227" fillId="0" borderId="18" xfId="0" applyNumberFormat="1" applyFont="1" applyFill="1" applyBorder="1" applyAlignment="1">
      <alignment horizontal="center"/>
    </xf>
    <xf numFmtId="0" fontId="227" fillId="0" borderId="17" xfId="0" applyFont="1" applyFill="1" applyBorder="1" applyAlignment="1">
      <alignment horizontal="center"/>
    </xf>
    <xf numFmtId="0" fontId="227" fillId="0" borderId="19" xfId="0" applyFont="1" applyFill="1" applyBorder="1" applyAlignment="1">
      <alignment horizontal="center"/>
    </xf>
    <xf numFmtId="178" fontId="4" fillId="64" borderId="35" xfId="437" applyNumberFormat="1" applyFont="1" applyFill="1" applyBorder="1" applyAlignment="1">
      <alignment horizontal="center"/>
    </xf>
    <xf numFmtId="0" fontId="0" fillId="0" borderId="0" xfId="0" applyFill="1" applyBorder="1" applyAlignment="1">
      <alignment horizontal="left"/>
    </xf>
    <xf numFmtId="14" fontId="94" fillId="62" borderId="21" xfId="442" quotePrefix="1" applyNumberFormat="1" applyFont="1" applyFill="1" applyBorder="1" applyAlignment="1">
      <alignment horizontal="left"/>
    </xf>
    <xf numFmtId="14" fontId="94" fillId="0" borderId="0" xfId="435" applyNumberFormat="1" applyFont="1" applyFill="1" applyBorder="1" applyAlignment="1">
      <alignment horizontal="center"/>
    </xf>
    <xf numFmtId="167" fontId="0" fillId="0" borderId="35" xfId="0" applyNumberFormat="1" applyFont="1" applyFill="1" applyBorder="1" applyAlignment="1">
      <alignment horizontal="center"/>
    </xf>
    <xf numFmtId="0" fontId="271" fillId="62" borderId="97" xfId="0" applyFont="1" applyFill="1" applyBorder="1"/>
    <xf numFmtId="0" fontId="0" fillId="0" borderId="0" xfId="0" applyFill="1" applyAlignment="1">
      <alignment horizontal="center"/>
    </xf>
    <xf numFmtId="0" fontId="0" fillId="0" borderId="0" xfId="0" applyFill="1" applyAlignment="1">
      <alignment horizontal="center"/>
    </xf>
    <xf numFmtId="0" fontId="3" fillId="62" borderId="0" xfId="0" quotePrefix="1" applyFont="1" applyFill="1" applyBorder="1" applyAlignment="1">
      <alignment vertical="top"/>
    </xf>
    <xf numFmtId="0" fontId="3" fillId="62" borderId="0" xfId="0" applyFont="1" applyFill="1" applyBorder="1" applyAlignment="1">
      <alignment vertical="top"/>
    </xf>
    <xf numFmtId="0" fontId="71" fillId="62" borderId="0" xfId="428" applyFont="1" applyFill="1" applyBorder="1" applyAlignment="1">
      <alignment horizontal="left"/>
    </xf>
    <xf numFmtId="0" fontId="50" fillId="0" borderId="15" xfId="0" quotePrefix="1" applyFont="1" applyFill="1" applyBorder="1" applyAlignment="1">
      <alignment horizontal="left"/>
    </xf>
    <xf numFmtId="3" fontId="99" fillId="0" borderId="18" xfId="0" applyNumberFormat="1" applyFont="1" applyFill="1" applyBorder="1" applyAlignment="1">
      <alignment horizontal="center"/>
    </xf>
    <xf numFmtId="0" fontId="99" fillId="0" borderId="19" xfId="0" applyFont="1" applyFill="1" applyBorder="1" applyAlignment="1">
      <alignment horizontal="center"/>
    </xf>
    <xf numFmtId="2" fontId="99" fillId="0" borderId="18" xfId="0" applyNumberFormat="1" applyFont="1" applyFill="1" applyBorder="1" applyAlignment="1"/>
    <xf numFmtId="1" fontId="99" fillId="0" borderId="0" xfId="0" applyNumberFormat="1" applyFont="1" applyFill="1" applyBorder="1" applyAlignment="1"/>
    <xf numFmtId="1" fontId="99" fillId="0" borderId="18" xfId="0" applyNumberFormat="1" applyFont="1" applyFill="1" applyBorder="1" applyAlignment="1"/>
    <xf numFmtId="183" fontId="0" fillId="0" borderId="0" xfId="573" applyNumberFormat="1" applyFont="1" applyFill="1" applyBorder="1" applyAlignment="1">
      <alignment horizontal="center"/>
    </xf>
    <xf numFmtId="0" fontId="252" fillId="62" borderId="0" xfId="435" applyFont="1" applyFill="1" applyBorder="1"/>
    <xf numFmtId="1" fontId="47" fillId="63" borderId="38" xfId="427" applyNumberFormat="1" applyFont="1" applyFill="1" applyBorder="1" applyAlignment="1">
      <alignment horizontal="left"/>
    </xf>
    <xf numFmtId="179" fontId="0" fillId="0" borderId="21" xfId="311" applyNumberFormat="1" applyFont="1" applyFill="1" applyBorder="1" applyAlignment="1"/>
    <xf numFmtId="14" fontId="0" fillId="0" borderId="0" xfId="0" applyNumberFormat="1" applyFill="1" applyBorder="1" applyAlignment="1">
      <alignment horizontal="right"/>
    </xf>
    <xf numFmtId="179" fontId="0" fillId="0" borderId="18" xfId="311" applyNumberFormat="1" applyFont="1" applyFill="1" applyBorder="1" applyAlignment="1">
      <alignment horizontal="right"/>
    </xf>
    <xf numFmtId="3" fontId="0" fillId="0" borderId="17" xfId="0" applyNumberFormat="1" applyFont="1" applyFill="1" applyBorder="1" applyAlignment="1">
      <alignment horizontal="center"/>
    </xf>
    <xf numFmtId="0" fontId="212" fillId="62" borderId="0" xfId="387" applyFill="1"/>
    <xf numFmtId="10" fontId="99" fillId="0" borderId="0" xfId="574" applyNumberFormat="1" applyFont="1" applyFill="1" applyBorder="1" applyAlignment="1">
      <alignment horizontal="center"/>
    </xf>
    <xf numFmtId="10" fontId="99" fillId="0" borderId="18" xfId="574" applyNumberFormat="1" applyFont="1" applyFill="1" applyBorder="1" applyAlignment="1">
      <alignment horizontal="center"/>
    </xf>
    <xf numFmtId="0" fontId="2" fillId="62" borderId="0" xfId="0" applyFont="1" applyFill="1" applyBorder="1" applyAlignment="1">
      <alignment horizontal="left" vertical="center"/>
    </xf>
    <xf numFmtId="14" fontId="0" fillId="0" borderId="0" xfId="0" applyNumberFormat="1" applyFill="1"/>
    <xf numFmtId="10" fontId="46" fillId="0" borderId="0" xfId="574" applyNumberFormat="1" applyFont="1" applyFill="1" applyBorder="1"/>
    <xf numFmtId="10" fontId="0" fillId="0" borderId="0" xfId="574" applyNumberFormat="1" applyFont="1" applyFill="1" applyBorder="1"/>
    <xf numFmtId="0" fontId="357" fillId="62" borderId="0" xfId="387" applyFont="1" applyFill="1"/>
    <xf numFmtId="14" fontId="0" fillId="0" borderId="0" xfId="0" quotePrefix="1" applyNumberFormat="1" applyFont="1" applyFill="1" applyBorder="1" applyAlignment="1">
      <alignment horizontal="center"/>
    </xf>
    <xf numFmtId="0" fontId="152" fillId="62" borderId="102" xfId="427" applyFont="1" applyFill="1" applyBorder="1"/>
    <xf numFmtId="0" fontId="0" fillId="62" borderId="103" xfId="0" applyFill="1" applyBorder="1"/>
    <xf numFmtId="0" fontId="0" fillId="62" borderId="104" xfId="0" applyFill="1" applyBorder="1"/>
    <xf numFmtId="0" fontId="152" fillId="62" borderId="105" xfId="427" applyFont="1" applyFill="1" applyBorder="1"/>
    <xf numFmtId="0" fontId="0" fillId="62" borderId="106" xfId="0" applyFill="1" applyBorder="1"/>
    <xf numFmtId="0" fontId="359" fillId="62" borderId="105" xfId="427" applyFont="1" applyFill="1" applyBorder="1"/>
    <xf numFmtId="0" fontId="360" fillId="62" borderId="105" xfId="427" applyFont="1" applyFill="1" applyBorder="1"/>
    <xf numFmtId="0" fontId="0" fillId="62" borderId="107" xfId="0" applyFill="1" applyBorder="1"/>
    <xf numFmtId="0" fontId="0" fillId="62" borderId="108" xfId="0" applyFill="1" applyBorder="1"/>
    <xf numFmtId="0" fontId="0" fillId="62" borderId="109" xfId="0" applyFill="1" applyBorder="1"/>
    <xf numFmtId="0" fontId="147" fillId="62" borderId="107" xfId="0" applyFont="1" applyFill="1" applyBorder="1"/>
    <xf numFmtId="0" fontId="360" fillId="62" borderId="105" xfId="427" applyFont="1" applyFill="1" applyBorder="1" applyAlignment="1"/>
    <xf numFmtId="0" fontId="222" fillId="62" borderId="105" xfId="0" applyFont="1" applyFill="1" applyBorder="1"/>
    <xf numFmtId="10" fontId="0" fillId="0" borderId="0" xfId="574" applyNumberFormat="1" applyFont="1" applyFill="1"/>
    <xf numFmtId="10" fontId="0" fillId="0" borderId="0" xfId="574" applyNumberFormat="1" applyFont="1" applyFill="1" applyBorder="1" applyAlignment="1">
      <alignment horizontal="right"/>
    </xf>
    <xf numFmtId="14" fontId="46" fillId="0" borderId="0" xfId="0" applyNumberFormat="1" applyFont="1" applyFill="1" applyBorder="1"/>
    <xf numFmtId="14" fontId="0" fillId="0" borderId="17" xfId="0" applyNumberFormat="1" applyFill="1" applyBorder="1" applyAlignment="1">
      <alignment horizontal="center"/>
    </xf>
    <xf numFmtId="1" fontId="0" fillId="0" borderId="17" xfId="0" applyNumberFormat="1" applyFill="1" applyBorder="1" applyAlignment="1">
      <alignment horizontal="right"/>
    </xf>
    <xf numFmtId="1" fontId="0" fillId="0" borderId="17" xfId="311" applyNumberFormat="1" applyFont="1" applyFill="1" applyBorder="1" applyAlignment="1">
      <alignment horizontal="right"/>
    </xf>
    <xf numFmtId="179" fontId="0" fillId="0" borderId="19" xfId="311" applyNumberFormat="1" applyFont="1" applyFill="1" applyBorder="1" applyAlignment="1">
      <alignment horizontal="right"/>
    </xf>
    <xf numFmtId="3" fontId="99" fillId="0" borderId="17" xfId="0" applyNumberFormat="1" applyFont="1" applyFill="1" applyBorder="1" applyAlignment="1">
      <alignment horizontal="center"/>
    </xf>
    <xf numFmtId="3" fontId="99" fillId="0" borderId="19" xfId="0" applyNumberFormat="1" applyFont="1" applyFill="1" applyBorder="1" applyAlignment="1">
      <alignment horizontal="center"/>
    </xf>
    <xf numFmtId="0" fontId="0" fillId="0" borderId="15" xfId="0" quotePrefix="1" applyFont="1" applyFill="1" applyBorder="1"/>
    <xf numFmtId="0" fontId="0" fillId="0" borderId="0" xfId="0" quotePrefix="1" applyFont="1" applyFill="1" applyBorder="1"/>
    <xf numFmtId="1" fontId="47" fillId="0" borderId="0" xfId="427" applyNumberFormat="1" applyFont="1" applyFill="1" applyBorder="1" applyAlignment="1">
      <alignment horizontal="left"/>
    </xf>
    <xf numFmtId="1" fontId="47" fillId="0" borderId="17" xfId="427" applyNumberFormat="1" applyFont="1" applyFill="1" applyBorder="1" applyAlignment="1">
      <alignment horizontal="left"/>
    </xf>
    <xf numFmtId="171" fontId="99" fillId="62" borderId="0" xfId="0" applyNumberFormat="1" applyFont="1" applyFill="1" applyBorder="1" applyAlignment="1">
      <alignment horizontal="center"/>
    </xf>
    <xf numFmtId="3" fontId="99" fillId="62" borderId="0" xfId="0" applyNumberFormat="1" applyFont="1" applyFill="1" applyBorder="1" applyAlignment="1">
      <alignment horizontal="center"/>
    </xf>
    <xf numFmtId="0" fontId="0" fillId="62" borderId="0" xfId="0" applyFill="1" applyBorder="1" applyAlignment="1">
      <alignment horizontal="center" wrapText="1"/>
    </xf>
    <xf numFmtId="0" fontId="99" fillId="62" borderId="0" xfId="0" applyFont="1" applyFill="1" applyBorder="1" applyAlignment="1">
      <alignment horizontal="center"/>
    </xf>
    <xf numFmtId="1" fontId="47" fillId="63" borderId="38" xfId="427" applyNumberFormat="1" applyFont="1" applyFill="1" applyBorder="1" applyAlignment="1">
      <alignment vertical="top"/>
    </xf>
    <xf numFmtId="1" fontId="47" fillId="63" borderId="19" xfId="427" applyNumberFormat="1" applyFont="1" applyFill="1" applyBorder="1" applyAlignment="1">
      <alignment vertical="top"/>
    </xf>
    <xf numFmtId="171" fontId="99" fillId="0" borderId="17" xfId="0" applyNumberFormat="1" applyFont="1" applyFill="1" applyBorder="1" applyAlignment="1">
      <alignment horizontal="center"/>
    </xf>
    <xf numFmtId="171" fontId="99" fillId="0" borderId="19" xfId="0" applyNumberFormat="1" applyFont="1" applyFill="1" applyBorder="1" applyAlignment="1">
      <alignment horizontal="center"/>
    </xf>
    <xf numFmtId="0" fontId="0" fillId="62" borderId="0" xfId="0" applyFont="1" applyFill="1" applyBorder="1" applyAlignment="1">
      <alignment horizontal="center" wrapText="1"/>
    </xf>
    <xf numFmtId="1" fontId="47" fillId="63" borderId="45" xfId="427" applyNumberFormat="1" applyFont="1" applyFill="1" applyBorder="1" applyAlignment="1">
      <alignment horizontal="left"/>
    </xf>
    <xf numFmtId="1" fontId="99" fillId="0" borderId="0" xfId="0" applyNumberFormat="1" applyFont="1" applyFill="1" applyBorder="1" applyAlignment="1">
      <alignment horizontal="left" wrapText="1"/>
    </xf>
    <xf numFmtId="171" fontId="47" fillId="0" borderId="0" xfId="0" applyNumberFormat="1" applyFont="1" applyFill="1" applyBorder="1" applyAlignment="1">
      <alignment horizontal="center"/>
    </xf>
    <xf numFmtId="3" fontId="47" fillId="0" borderId="0" xfId="0" applyNumberFormat="1" applyFont="1" applyFill="1" applyBorder="1" applyAlignment="1">
      <alignment horizontal="center"/>
    </xf>
    <xf numFmtId="0" fontId="47" fillId="0" borderId="0" xfId="0" applyFont="1" applyFill="1" applyBorder="1" applyAlignment="1">
      <alignment horizontal="center"/>
    </xf>
    <xf numFmtId="0" fontId="239" fillId="0" borderId="20" xfId="0" applyFont="1" applyFill="1" applyBorder="1" applyAlignment="1"/>
    <xf numFmtId="0" fontId="79" fillId="62" borderId="105" xfId="427" applyFont="1" applyFill="1" applyBorder="1"/>
    <xf numFmtId="0" fontId="367" fillId="62" borderId="105" xfId="427" applyFont="1" applyFill="1" applyBorder="1"/>
    <xf numFmtId="0" fontId="360" fillId="62" borderId="105" xfId="427" applyFont="1" applyFill="1" applyBorder="1" applyAlignment="1">
      <alignment vertical="top"/>
    </xf>
    <xf numFmtId="0" fontId="79" fillId="62" borderId="105" xfId="427" applyFont="1" applyFill="1" applyBorder="1" applyAlignment="1">
      <alignment vertical="top"/>
    </xf>
    <xf numFmtId="2" fontId="47" fillId="0" borderId="0" xfId="0" applyNumberFormat="1" applyFont="1" applyFill="1" applyBorder="1" applyAlignment="1">
      <alignment horizontal="center"/>
    </xf>
    <xf numFmtId="0" fontId="222" fillId="0" borderId="21" xfId="0" applyFont="1" applyFill="1" applyBorder="1" applyAlignment="1">
      <alignment horizontal="right"/>
    </xf>
    <xf numFmtId="1" fontId="47" fillId="63" borderId="46" xfId="427" applyNumberFormat="1" applyFont="1" applyFill="1" applyBorder="1" applyAlignment="1">
      <alignment horizontal="left"/>
    </xf>
    <xf numFmtId="167" fontId="99" fillId="64" borderId="38" xfId="427" applyNumberFormat="1" applyFont="1" applyFill="1" applyBorder="1" applyAlignment="1">
      <alignment horizontal="left"/>
    </xf>
    <xf numFmtId="0" fontId="0" fillId="64" borderId="46" xfId="0" applyFill="1" applyBorder="1" applyAlignment="1">
      <alignment horizontal="left"/>
    </xf>
    <xf numFmtId="167" fontId="46" fillId="64" borderId="38" xfId="427" applyNumberFormat="1" applyFont="1" applyFill="1" applyBorder="1" applyAlignment="1">
      <alignment horizontal="left"/>
    </xf>
    <xf numFmtId="0" fontId="0" fillId="0" borderId="18" xfId="0" applyFill="1" applyBorder="1" applyAlignment="1">
      <alignment horizontal="center"/>
    </xf>
    <xf numFmtId="167" fontId="46" fillId="64" borderId="38" xfId="427" applyNumberFormat="1" applyFont="1" applyFill="1" applyBorder="1" applyAlignment="1">
      <alignment horizontal="center"/>
    </xf>
    <xf numFmtId="167" fontId="46" fillId="64" borderId="46" xfId="427" applyNumberFormat="1" applyFont="1" applyFill="1" applyBorder="1" applyAlignment="1">
      <alignment horizontal="center"/>
    </xf>
    <xf numFmtId="0" fontId="0" fillId="0" borderId="0" xfId="0" applyFill="1" applyBorder="1" applyAlignment="1">
      <alignment horizontal="left"/>
    </xf>
    <xf numFmtId="0" fontId="0" fillId="0" borderId="18" xfId="0" applyFill="1" applyBorder="1" applyAlignment="1">
      <alignment horizontal="left"/>
    </xf>
    <xf numFmtId="0" fontId="46" fillId="0" borderId="0" xfId="0" applyFont="1" applyFill="1" applyBorder="1" applyAlignment="1">
      <alignment horizontal="left"/>
    </xf>
    <xf numFmtId="167" fontId="46" fillId="64" borderId="35" xfId="427" applyNumberFormat="1" applyFont="1" applyFill="1" applyBorder="1" applyAlignment="1">
      <alignment horizontal="left"/>
    </xf>
    <xf numFmtId="0" fontId="0" fillId="0" borderId="0" xfId="0" applyFill="1" applyBorder="1" applyAlignment="1">
      <alignment horizontal="center"/>
    </xf>
    <xf numFmtId="0" fontId="46" fillId="0" borderId="0" xfId="0" applyFont="1" applyFill="1" applyBorder="1" applyAlignment="1">
      <alignment horizontal="center"/>
    </xf>
    <xf numFmtId="1" fontId="47" fillId="63" borderId="38" xfId="427" applyNumberFormat="1" applyFont="1" applyFill="1" applyBorder="1" applyAlignment="1">
      <alignment horizontal="left" vertical="top" wrapText="1"/>
    </xf>
    <xf numFmtId="1" fontId="47" fillId="63" borderId="46" xfId="427" applyNumberFormat="1" applyFont="1" applyFill="1" applyBorder="1" applyAlignment="1">
      <alignment horizontal="left" vertical="top" wrapText="1"/>
    </xf>
    <xf numFmtId="1" fontId="47" fillId="63" borderId="45" xfId="427" applyNumberFormat="1" applyFont="1" applyFill="1" applyBorder="1" applyAlignment="1">
      <alignment horizontal="left" vertical="top" wrapText="1"/>
    </xf>
    <xf numFmtId="0" fontId="0" fillId="63" borderId="35" xfId="0" applyFill="1" applyBorder="1" applyAlignment="1">
      <alignment horizontal="left"/>
    </xf>
    <xf numFmtId="0" fontId="0" fillId="63" borderId="35" xfId="0" applyFill="1" applyBorder="1" applyAlignment="1"/>
    <xf numFmtId="167" fontId="94" fillId="0" borderId="38" xfId="427" quotePrefix="1" applyNumberFormat="1" applyFont="1" applyFill="1" applyBorder="1" applyAlignment="1">
      <alignment horizontal="center" vertical="center"/>
    </xf>
    <xf numFmtId="167" fontId="94" fillId="0" borderId="46" xfId="427" quotePrefix="1" applyNumberFormat="1" applyFont="1" applyFill="1" applyBorder="1" applyAlignment="1">
      <alignment horizontal="center" vertical="center"/>
    </xf>
    <xf numFmtId="0" fontId="0" fillId="62" borderId="0" xfId="0" applyFill="1" applyBorder="1" applyAlignment="1">
      <alignment horizontal="center"/>
    </xf>
    <xf numFmtId="0" fontId="0" fillId="0" borderId="0" xfId="0" applyFill="1" applyAlignment="1">
      <alignment horizontal="center"/>
    </xf>
    <xf numFmtId="0" fontId="99" fillId="62" borderId="18" xfId="442" applyFont="1" applyFill="1" applyBorder="1" applyAlignment="1">
      <alignment horizontal="center" vertical="center"/>
    </xf>
    <xf numFmtId="0" fontId="99" fillId="62" borderId="0" xfId="442" applyFont="1" applyFill="1" applyBorder="1" applyAlignment="1">
      <alignment horizontal="center" vertical="center"/>
    </xf>
    <xf numFmtId="0" fontId="46" fillId="0" borderId="38" xfId="427" applyFont="1" applyFill="1" applyBorder="1" applyAlignment="1">
      <alignment horizontal="left"/>
    </xf>
    <xf numFmtId="0" fontId="46" fillId="0" borderId="46" xfId="427" applyFont="1" applyFill="1" applyBorder="1" applyAlignment="1">
      <alignment horizontal="left"/>
    </xf>
    <xf numFmtId="14" fontId="99" fillId="64" borderId="20" xfId="427" applyNumberFormat="1" applyFont="1" applyFill="1" applyBorder="1" applyAlignment="1">
      <alignment horizontal="center"/>
    </xf>
    <xf numFmtId="14" fontId="99" fillId="64" borderId="19" xfId="427" applyNumberFormat="1" applyFont="1" applyFill="1" applyBorder="1" applyAlignment="1">
      <alignment horizontal="center"/>
    </xf>
    <xf numFmtId="22" fontId="346" fillId="0" borderId="38" xfId="437" applyNumberFormat="1" applyFont="1" applyFill="1" applyBorder="1" applyAlignment="1">
      <alignment horizontal="center"/>
    </xf>
    <xf numFmtId="22" fontId="346" fillId="0" borderId="46" xfId="437" applyNumberFormat="1" applyFont="1" applyFill="1" applyBorder="1" applyAlignment="1">
      <alignment horizontal="center"/>
    </xf>
    <xf numFmtId="0" fontId="346" fillId="0" borderId="18" xfId="437" quotePrefix="1" applyFont="1" applyFill="1" applyBorder="1" applyAlignment="1">
      <alignment horizontal="center"/>
    </xf>
    <xf numFmtId="0" fontId="346" fillId="0" borderId="19" xfId="437" quotePrefix="1" applyFont="1" applyFill="1" applyBorder="1" applyAlignment="1">
      <alignment horizontal="center"/>
    </xf>
    <xf numFmtId="0" fontId="200" fillId="62" borderId="0" xfId="437" applyFont="1" applyFill="1" applyAlignment="1">
      <alignment horizontal="center" vertical="center"/>
    </xf>
    <xf numFmtId="0" fontId="239" fillId="62" borderId="0" xfId="437" applyFont="1" applyFill="1" applyAlignment="1">
      <alignment horizontal="center" vertical="center"/>
    </xf>
    <xf numFmtId="0" fontId="282" fillId="62" borderId="18" xfId="437" applyFont="1" applyFill="1" applyBorder="1" applyAlignment="1">
      <alignment horizontal="center"/>
    </xf>
    <xf numFmtId="0" fontId="54" fillId="0" borderId="24" xfId="432" applyFont="1" applyFill="1" applyBorder="1" applyAlignment="1">
      <alignment horizontal="left" vertical="center" wrapText="1"/>
    </xf>
    <xf numFmtId="0" fontId="101" fillId="0" borderId="25" xfId="0" applyFont="1" applyFill="1" applyBorder="1" applyAlignment="1">
      <alignment horizontal="left" vertical="center" wrapText="1"/>
    </xf>
    <xf numFmtId="0" fontId="101" fillId="0" borderId="26" xfId="0" applyFont="1" applyFill="1" applyBorder="1" applyAlignment="1">
      <alignment horizontal="left" vertical="center" wrapText="1"/>
    </xf>
    <xf numFmtId="0" fontId="104" fillId="0" borderId="24" xfId="433" applyFont="1" applyFill="1" applyBorder="1" applyAlignment="1">
      <alignment horizontal="left" vertical="top" wrapText="1"/>
    </xf>
    <xf numFmtId="0" fontId="104" fillId="0" borderId="25" xfId="0" applyFont="1" applyFill="1" applyBorder="1" applyAlignment="1">
      <alignment horizontal="left" vertical="top" wrapText="1"/>
    </xf>
    <xf numFmtId="0" fontId="104" fillId="0" borderId="26" xfId="0" applyFont="1" applyFill="1" applyBorder="1" applyAlignment="1">
      <alignment horizontal="left" vertical="top" wrapText="1"/>
    </xf>
    <xf numFmtId="0" fontId="79" fillId="0" borderId="21" xfId="430" applyFont="1" applyFill="1" applyBorder="1" applyAlignment="1">
      <alignment horizontal="center"/>
    </xf>
    <xf numFmtId="0" fontId="79" fillId="0" borderId="0" xfId="430" applyFont="1" applyFill="1" applyBorder="1" applyAlignment="1">
      <alignment horizontal="center"/>
    </xf>
    <xf numFmtId="0" fontId="79" fillId="0" borderId="0" xfId="427" applyFont="1" applyFill="1" applyBorder="1" applyAlignment="1">
      <alignment horizontal="center"/>
    </xf>
    <xf numFmtId="22" fontId="229" fillId="0" borderId="38" xfId="437" applyNumberFormat="1" applyFont="1" applyFill="1" applyBorder="1" applyAlignment="1">
      <alignment horizontal="center"/>
    </xf>
    <xf numFmtId="0" fontId="229" fillId="0" borderId="46" xfId="437" applyFont="1" applyFill="1" applyBorder="1" applyAlignment="1">
      <alignment horizontal="center"/>
    </xf>
    <xf numFmtId="0" fontId="229" fillId="0" borderId="38" xfId="437" applyFont="1" applyFill="1" applyBorder="1" applyAlignment="1">
      <alignment horizontal="center"/>
    </xf>
    <xf numFmtId="0" fontId="228" fillId="0" borderId="21" xfId="437" applyFont="1" applyFill="1" applyBorder="1" applyAlignment="1">
      <alignment horizontal="center"/>
    </xf>
    <xf numFmtId="0" fontId="228" fillId="0" borderId="0" xfId="437" applyFont="1" applyFill="1" applyBorder="1" applyAlignment="1">
      <alignment horizontal="center"/>
    </xf>
    <xf numFmtId="0" fontId="232" fillId="0" borderId="0" xfId="437" applyFont="1" applyFill="1" applyBorder="1" applyAlignment="1">
      <alignment horizontal="center"/>
    </xf>
    <xf numFmtId="0" fontId="232" fillId="0" borderId="17" xfId="437" applyFont="1" applyFill="1" applyBorder="1" applyAlignment="1">
      <alignment horizontal="center"/>
    </xf>
    <xf numFmtId="0" fontId="228" fillId="0" borderId="38" xfId="437" quotePrefix="1" applyFont="1" applyFill="1" applyBorder="1" applyAlignment="1">
      <alignment horizontal="left"/>
    </xf>
    <xf numFmtId="0" fontId="228" fillId="0" borderId="46" xfId="437" quotePrefix="1" applyFont="1" applyFill="1" applyBorder="1" applyAlignment="1">
      <alignment horizontal="left"/>
    </xf>
    <xf numFmtId="0" fontId="228" fillId="0" borderId="38" xfId="437" applyFont="1" applyFill="1" applyBorder="1" applyAlignment="1">
      <alignment horizontal="center"/>
    </xf>
    <xf numFmtId="0" fontId="228" fillId="0" borderId="46" xfId="437" applyFont="1" applyFill="1" applyBorder="1" applyAlignment="1">
      <alignment horizontal="center"/>
    </xf>
    <xf numFmtId="0" fontId="0" fillId="0" borderId="18" xfId="0" applyFont="1" applyFill="1" applyBorder="1" applyAlignment="1">
      <alignment horizontal="center" vertical="center"/>
    </xf>
    <xf numFmtId="0" fontId="229" fillId="0" borderId="45" xfId="437" applyFont="1" applyFill="1" applyBorder="1" applyAlignment="1">
      <alignment horizontal="center"/>
    </xf>
    <xf numFmtId="0" fontId="250" fillId="0" borderId="38" xfId="572" applyFont="1" applyFill="1" applyBorder="1" applyAlignment="1">
      <alignment horizontal="left"/>
    </xf>
    <xf numFmtId="0" fontId="250" fillId="0" borderId="46" xfId="572" applyFont="1" applyFill="1" applyBorder="1" applyAlignment="1">
      <alignment horizontal="left"/>
    </xf>
    <xf numFmtId="0" fontId="229" fillId="62" borderId="0" xfId="572" applyFont="1" applyFill="1" applyBorder="1" applyAlignment="1">
      <alignment horizontal="left"/>
    </xf>
    <xf numFmtId="0" fontId="0" fillId="62" borderId="0" xfId="0" applyFont="1" applyFill="1" applyBorder="1" applyAlignment="1">
      <alignment horizontal="left" vertical="center"/>
    </xf>
  </cellXfs>
  <cellStyles count="575">
    <cellStyle name="20% - Accent1 10" xfId="1"/>
    <cellStyle name="20% - Accent1 11" xfId="2"/>
    <cellStyle name="20% - Accent1 2" xfId="3"/>
    <cellStyle name="20% - Accent1 2 2" xfId="4"/>
    <cellStyle name="20% - Accent1 2 2 2" xfId="5"/>
    <cellStyle name="20% - Accent1 3" xfId="6"/>
    <cellStyle name="20% - Accent1 4" xfId="7"/>
    <cellStyle name="20% - Accent1 5" xfId="8"/>
    <cellStyle name="20% - Accent1 6" xfId="9"/>
    <cellStyle name="20% - Accent1 7" xfId="10"/>
    <cellStyle name="20% - Accent1 8" xfId="11"/>
    <cellStyle name="20% - Accent1 9" xfId="12"/>
    <cellStyle name="20% - Accent2 10" xfId="13"/>
    <cellStyle name="20% - Accent2 11" xfId="14"/>
    <cellStyle name="20% - Accent2 2" xfId="15"/>
    <cellStyle name="20% - Accent2 2 2" xfId="16"/>
    <cellStyle name="20% - Accent2 2 2 2" xfId="17"/>
    <cellStyle name="20% - Accent2 3" xfId="18"/>
    <cellStyle name="20% - Accent2 4" xfId="19"/>
    <cellStyle name="20% - Accent2 5" xfId="20"/>
    <cellStyle name="20% - Accent2 6" xfId="21"/>
    <cellStyle name="20% - Accent2 7" xfId="22"/>
    <cellStyle name="20% - Accent2 8" xfId="23"/>
    <cellStyle name="20% - Accent2 9" xfId="24"/>
    <cellStyle name="20% - Accent3 10" xfId="25"/>
    <cellStyle name="20% - Accent3 11" xfId="26"/>
    <cellStyle name="20% - Accent3 2" xfId="27"/>
    <cellStyle name="20% - Accent3 2 2" xfId="28"/>
    <cellStyle name="20% - Accent3 2 2 2" xfId="29"/>
    <cellStyle name="20% - Accent3 3" xfId="30"/>
    <cellStyle name="20% - Accent3 4" xfId="31"/>
    <cellStyle name="20% - Accent3 5" xfId="32"/>
    <cellStyle name="20% - Accent3 6" xfId="33"/>
    <cellStyle name="20% - Accent3 7" xfId="34"/>
    <cellStyle name="20% - Accent3 8" xfId="35"/>
    <cellStyle name="20% - Accent3 9" xfId="36"/>
    <cellStyle name="20% - Accent4 10" xfId="37"/>
    <cellStyle name="20% - Accent4 11" xfId="38"/>
    <cellStyle name="20% - Accent4 2" xfId="39"/>
    <cellStyle name="20% - Accent4 2 2" xfId="40"/>
    <cellStyle name="20% - Accent4 2 2 2" xfId="41"/>
    <cellStyle name="20% - Accent4 3" xfId="42"/>
    <cellStyle name="20% - Accent4 4" xfId="43"/>
    <cellStyle name="20% - Accent4 5" xfId="44"/>
    <cellStyle name="20% - Accent4 6" xfId="45"/>
    <cellStyle name="20% - Accent4 7" xfId="46"/>
    <cellStyle name="20% - Accent4 8" xfId="47"/>
    <cellStyle name="20% - Accent4 9" xfId="48"/>
    <cellStyle name="20% - Accent5 10" xfId="49"/>
    <cellStyle name="20% - Accent5 11" xfId="50"/>
    <cellStyle name="20% - Accent5 2" xfId="51"/>
    <cellStyle name="20% - Accent5 2 2" xfId="52"/>
    <cellStyle name="20% - Accent5 2 2 2" xfId="53"/>
    <cellStyle name="20% - Accent5 3" xfId="54"/>
    <cellStyle name="20% - Accent5 4" xfId="55"/>
    <cellStyle name="20% - Accent5 5" xfId="56"/>
    <cellStyle name="20% - Accent5 6" xfId="57"/>
    <cellStyle name="20% - Accent5 7" xfId="58"/>
    <cellStyle name="20% - Accent5 8" xfId="59"/>
    <cellStyle name="20% - Accent5 9" xfId="60"/>
    <cellStyle name="20% - Accent6 10" xfId="61"/>
    <cellStyle name="20% - Accent6 11" xfId="62"/>
    <cellStyle name="20% - Accent6 2" xfId="63"/>
    <cellStyle name="20% - Accent6 2 2" xfId="64"/>
    <cellStyle name="20% - Accent6 2 2 2" xfId="65"/>
    <cellStyle name="20% - Accent6 3" xfId="66"/>
    <cellStyle name="20% - Accent6 4" xfId="67"/>
    <cellStyle name="20% - Accent6 5" xfId="68"/>
    <cellStyle name="20% - Accent6 6" xfId="69"/>
    <cellStyle name="20% - Accent6 7" xfId="70"/>
    <cellStyle name="20% - Accent6 8" xfId="71"/>
    <cellStyle name="20% - Accent6 9" xfId="72"/>
    <cellStyle name="40% - Accent1 10" xfId="73"/>
    <cellStyle name="40% - Accent1 11" xfId="74"/>
    <cellStyle name="40% - Accent1 2" xfId="75"/>
    <cellStyle name="40% - Accent1 2 2" xfId="76"/>
    <cellStyle name="40% - Accent1 2 2 2" xfId="77"/>
    <cellStyle name="40% - Accent1 3" xfId="78"/>
    <cellStyle name="40% - Accent1 4" xfId="79"/>
    <cellStyle name="40% - Accent1 5" xfId="80"/>
    <cellStyle name="40% - Accent1 6" xfId="81"/>
    <cellStyle name="40% - Accent1 7" xfId="82"/>
    <cellStyle name="40% - Accent1 8" xfId="83"/>
    <cellStyle name="40% - Accent1 9" xfId="84"/>
    <cellStyle name="40% - Accent2 10" xfId="85"/>
    <cellStyle name="40% - Accent2 11" xfId="86"/>
    <cellStyle name="40% - Accent2 2" xfId="87"/>
    <cellStyle name="40% - Accent2 2 2" xfId="88"/>
    <cellStyle name="40% - Accent2 2 2 2" xfId="89"/>
    <cellStyle name="40% - Accent2 3" xfId="90"/>
    <cellStyle name="40% - Accent2 4" xfId="91"/>
    <cellStyle name="40% - Accent2 5" xfId="92"/>
    <cellStyle name="40% - Accent2 6" xfId="93"/>
    <cellStyle name="40% - Accent2 7" xfId="94"/>
    <cellStyle name="40% - Accent2 8" xfId="95"/>
    <cellStyle name="40% - Accent2 9" xfId="96"/>
    <cellStyle name="40% - Accent3 10" xfId="97"/>
    <cellStyle name="40% - Accent3 11" xfId="98"/>
    <cellStyle name="40% - Accent3 2" xfId="99"/>
    <cellStyle name="40% - Accent3 2 2" xfId="100"/>
    <cellStyle name="40% - Accent3 2 2 2" xfId="101"/>
    <cellStyle name="40% - Accent3 3" xfId="102"/>
    <cellStyle name="40% - Accent3 4" xfId="103"/>
    <cellStyle name="40% - Accent3 5" xfId="104"/>
    <cellStyle name="40% - Accent3 6" xfId="105"/>
    <cellStyle name="40% - Accent3 7" xfId="106"/>
    <cellStyle name="40% - Accent3 8" xfId="107"/>
    <cellStyle name="40% - Accent3 9" xfId="108"/>
    <cellStyle name="40% - Accent4 10" xfId="109"/>
    <cellStyle name="40% - Accent4 11" xfId="110"/>
    <cellStyle name="40% - Accent4 2" xfId="111"/>
    <cellStyle name="40% - Accent4 2 2" xfId="112"/>
    <cellStyle name="40% - Accent4 2 2 2" xfId="113"/>
    <cellStyle name="40% - Accent4 3" xfId="114"/>
    <cellStyle name="40% - Accent4 4" xfId="115"/>
    <cellStyle name="40% - Accent4 5" xfId="116"/>
    <cellStyle name="40% - Accent4 6" xfId="117"/>
    <cellStyle name="40% - Accent4 7" xfId="118"/>
    <cellStyle name="40% - Accent4 8" xfId="119"/>
    <cellStyle name="40% - Accent4 9" xfId="120"/>
    <cellStyle name="40% - Accent5 10" xfId="121"/>
    <cellStyle name="40% - Accent5 11" xfId="122"/>
    <cellStyle name="40% - Accent5 2" xfId="123"/>
    <cellStyle name="40% - Accent5 2 2" xfId="124"/>
    <cellStyle name="40% - Accent5 2 2 2" xfId="125"/>
    <cellStyle name="40% - Accent5 3" xfId="126"/>
    <cellStyle name="40% - Accent5 4" xfId="127"/>
    <cellStyle name="40% - Accent5 5" xfId="128"/>
    <cellStyle name="40% - Accent5 6" xfId="129"/>
    <cellStyle name="40% - Accent5 7" xfId="130"/>
    <cellStyle name="40% - Accent5 8" xfId="131"/>
    <cellStyle name="40% - Accent5 9" xfId="132"/>
    <cellStyle name="40% - Accent6 10" xfId="133"/>
    <cellStyle name="40% - Accent6 11" xfId="134"/>
    <cellStyle name="40% - Accent6 2" xfId="135"/>
    <cellStyle name="40% - Accent6 2 2" xfId="136"/>
    <cellStyle name="40% - Accent6 2 2 2" xfId="137"/>
    <cellStyle name="40% - Accent6 3" xfId="138"/>
    <cellStyle name="40% - Accent6 4" xfId="139"/>
    <cellStyle name="40% - Accent6 5" xfId="140"/>
    <cellStyle name="40% - Accent6 6" xfId="141"/>
    <cellStyle name="40% - Accent6 7" xfId="142"/>
    <cellStyle name="40% - Accent6 8" xfId="143"/>
    <cellStyle name="40% - Accent6 9" xfId="144"/>
    <cellStyle name="60% - Accent1 10" xfId="145"/>
    <cellStyle name="60% - Accent1 11" xfId="146"/>
    <cellStyle name="60% - Accent1 2" xfId="147"/>
    <cellStyle name="60% - Accent1 2 2" xfId="148"/>
    <cellStyle name="60% - Accent1 3" xfId="149"/>
    <cellStyle name="60% - Accent1 4" xfId="150"/>
    <cellStyle name="60% - Accent1 5" xfId="151"/>
    <cellStyle name="60% - Accent1 6" xfId="152"/>
    <cellStyle name="60% - Accent1 7" xfId="153"/>
    <cellStyle name="60% - Accent1 8" xfId="154"/>
    <cellStyle name="60% - Accent1 9" xfId="155"/>
    <cellStyle name="60% - Accent2 10" xfId="156"/>
    <cellStyle name="60% - Accent2 11" xfId="157"/>
    <cellStyle name="60% - Accent2 2" xfId="158"/>
    <cellStyle name="60% - Accent2 2 2" xfId="159"/>
    <cellStyle name="60% - Accent2 3" xfId="160"/>
    <cellStyle name="60% - Accent2 4" xfId="161"/>
    <cellStyle name="60% - Accent2 5" xfId="162"/>
    <cellStyle name="60% - Accent2 6" xfId="163"/>
    <cellStyle name="60% - Accent2 7" xfId="164"/>
    <cellStyle name="60% - Accent2 8" xfId="165"/>
    <cellStyle name="60% - Accent2 9" xfId="166"/>
    <cellStyle name="60% - Accent3 10" xfId="167"/>
    <cellStyle name="60% - Accent3 11" xfId="168"/>
    <cellStyle name="60% - Accent3 2" xfId="169"/>
    <cellStyle name="60% - Accent3 2 2" xfId="170"/>
    <cellStyle name="60% - Accent3 3" xfId="171"/>
    <cellStyle name="60% - Accent3 4" xfId="172"/>
    <cellStyle name="60% - Accent3 5" xfId="173"/>
    <cellStyle name="60% - Accent3 6" xfId="174"/>
    <cellStyle name="60% - Accent3 7" xfId="175"/>
    <cellStyle name="60% - Accent3 8" xfId="176"/>
    <cellStyle name="60% - Accent3 9" xfId="177"/>
    <cellStyle name="60% - Accent4 10" xfId="178"/>
    <cellStyle name="60% - Accent4 11" xfId="179"/>
    <cellStyle name="60% - Accent4 2" xfId="180"/>
    <cellStyle name="60% - Accent4 2 2" xfId="181"/>
    <cellStyle name="60% - Accent4 3" xfId="182"/>
    <cellStyle name="60% - Accent4 4" xfId="183"/>
    <cellStyle name="60% - Accent4 5" xfId="184"/>
    <cellStyle name="60% - Accent4 6" xfId="185"/>
    <cellStyle name="60% - Accent4 7" xfId="186"/>
    <cellStyle name="60% - Accent4 8" xfId="187"/>
    <cellStyle name="60% - Accent4 9" xfId="188"/>
    <cellStyle name="60% - Accent5 10" xfId="189"/>
    <cellStyle name="60% - Accent5 11" xfId="190"/>
    <cellStyle name="60% - Accent5 2" xfId="191"/>
    <cellStyle name="60% - Accent5 2 2" xfId="192"/>
    <cellStyle name="60% - Accent5 3" xfId="193"/>
    <cellStyle name="60% - Accent5 4" xfId="194"/>
    <cellStyle name="60% - Accent5 5" xfId="195"/>
    <cellStyle name="60% - Accent5 6" xfId="196"/>
    <cellStyle name="60% - Accent5 7" xfId="197"/>
    <cellStyle name="60% - Accent5 8" xfId="198"/>
    <cellStyle name="60% - Accent5 9" xfId="199"/>
    <cellStyle name="60% - Accent6 10" xfId="200"/>
    <cellStyle name="60% - Accent6 11" xfId="201"/>
    <cellStyle name="60% - Accent6 2" xfId="202"/>
    <cellStyle name="60% - Accent6 2 2" xfId="203"/>
    <cellStyle name="60% - Accent6 3" xfId="204"/>
    <cellStyle name="60% - Accent6 4" xfId="205"/>
    <cellStyle name="60% - Accent6 5" xfId="206"/>
    <cellStyle name="60% - Accent6 6" xfId="207"/>
    <cellStyle name="60% - Accent6 7" xfId="208"/>
    <cellStyle name="60% - Accent6 8" xfId="209"/>
    <cellStyle name="60% - Accent6 9" xfId="210"/>
    <cellStyle name="Accent1 10" xfId="211"/>
    <cellStyle name="Accent1 11" xfId="212"/>
    <cellStyle name="Accent1 2" xfId="213"/>
    <cellStyle name="Accent1 2 2" xfId="214"/>
    <cellStyle name="Accent1 3" xfId="215"/>
    <cellStyle name="Accent1 4" xfId="216"/>
    <cellStyle name="Accent1 5" xfId="217"/>
    <cellStyle name="Accent1 6" xfId="218"/>
    <cellStyle name="Accent1 7" xfId="219"/>
    <cellStyle name="Accent1 8" xfId="220"/>
    <cellStyle name="Accent1 9" xfId="221"/>
    <cellStyle name="Accent2 10" xfId="222"/>
    <cellStyle name="Accent2 11" xfId="223"/>
    <cellStyle name="Accent2 2" xfId="224"/>
    <cellStyle name="Accent2 2 2" xfId="225"/>
    <cellStyle name="Accent2 3" xfId="226"/>
    <cellStyle name="Accent2 4" xfId="227"/>
    <cellStyle name="Accent2 5" xfId="228"/>
    <cellStyle name="Accent2 6" xfId="229"/>
    <cellStyle name="Accent2 7" xfId="230"/>
    <cellStyle name="Accent2 8" xfId="231"/>
    <cellStyle name="Accent2 9" xfId="232"/>
    <cellStyle name="Accent3 10" xfId="233"/>
    <cellStyle name="Accent3 11" xfId="234"/>
    <cellStyle name="Accent3 2" xfId="235"/>
    <cellStyle name="Accent3 2 2" xfId="236"/>
    <cellStyle name="Accent3 3" xfId="237"/>
    <cellStyle name="Accent3 4" xfId="238"/>
    <cellStyle name="Accent3 5" xfId="239"/>
    <cellStyle name="Accent3 6" xfId="240"/>
    <cellStyle name="Accent3 7" xfId="241"/>
    <cellStyle name="Accent3 8" xfId="242"/>
    <cellStyle name="Accent3 9" xfId="243"/>
    <cellStyle name="Accent4 10" xfId="244"/>
    <cellStyle name="Accent4 11" xfId="245"/>
    <cellStyle name="Accent4 2" xfId="246"/>
    <cellStyle name="Accent4 2 2" xfId="247"/>
    <cellStyle name="Accent4 3" xfId="248"/>
    <cellStyle name="Accent4 4" xfId="249"/>
    <cellStyle name="Accent4 5" xfId="250"/>
    <cellStyle name="Accent4 6" xfId="251"/>
    <cellStyle name="Accent4 7" xfId="252"/>
    <cellStyle name="Accent4 8" xfId="253"/>
    <cellStyle name="Accent4 9" xfId="254"/>
    <cellStyle name="Accent5 10" xfId="255"/>
    <cellStyle name="Accent5 11" xfId="256"/>
    <cellStyle name="Accent5 2" xfId="257"/>
    <cellStyle name="Accent5 2 2" xfId="258"/>
    <cellStyle name="Accent5 3" xfId="259"/>
    <cellStyle name="Accent5 4" xfId="260"/>
    <cellStyle name="Accent5 5" xfId="261"/>
    <cellStyle name="Accent5 6" xfId="262"/>
    <cellStyle name="Accent5 7" xfId="263"/>
    <cellStyle name="Accent5 8" xfId="264"/>
    <cellStyle name="Accent5 9" xfId="265"/>
    <cellStyle name="Accent6 10" xfId="266"/>
    <cellStyle name="Accent6 11" xfId="267"/>
    <cellStyle name="Accent6 2" xfId="268"/>
    <cellStyle name="Accent6 2 2" xfId="269"/>
    <cellStyle name="Accent6 3" xfId="270"/>
    <cellStyle name="Accent6 4" xfId="271"/>
    <cellStyle name="Accent6 5" xfId="272"/>
    <cellStyle name="Accent6 6" xfId="273"/>
    <cellStyle name="Accent6 7" xfId="274"/>
    <cellStyle name="Accent6 8" xfId="275"/>
    <cellStyle name="Accent6 9" xfId="276"/>
    <cellStyle name="Bad 10" xfId="277"/>
    <cellStyle name="Bad 11" xfId="278"/>
    <cellStyle name="Bad 2" xfId="279"/>
    <cellStyle name="Bad 2 2" xfId="280"/>
    <cellStyle name="Bad 3" xfId="281"/>
    <cellStyle name="Bad 4" xfId="282"/>
    <cellStyle name="Bad 5" xfId="283"/>
    <cellStyle name="Bad 6" xfId="284"/>
    <cellStyle name="Bad 7" xfId="285"/>
    <cellStyle name="Bad 8" xfId="286"/>
    <cellStyle name="Bad 9" xfId="287"/>
    <cellStyle name="Body" xfId="288"/>
    <cellStyle name="Calculation 10" xfId="289"/>
    <cellStyle name="Calculation 11" xfId="290"/>
    <cellStyle name="Calculation 2" xfId="291"/>
    <cellStyle name="Calculation 2 2" xfId="292"/>
    <cellStyle name="Calculation 3" xfId="293"/>
    <cellStyle name="Calculation 4" xfId="294"/>
    <cellStyle name="Calculation 5" xfId="295"/>
    <cellStyle name="Calculation 6" xfId="296"/>
    <cellStyle name="Calculation 7" xfId="297"/>
    <cellStyle name="Calculation 8" xfId="298"/>
    <cellStyle name="Calculation 9" xfId="299"/>
    <cellStyle name="Check Cell 10" xfId="300"/>
    <cellStyle name="Check Cell 11" xfId="301"/>
    <cellStyle name="Check Cell 2" xfId="302"/>
    <cellStyle name="Check Cell 2 2" xfId="303"/>
    <cellStyle name="Check Cell 3" xfId="304"/>
    <cellStyle name="Check Cell 4" xfId="305"/>
    <cellStyle name="Check Cell 5" xfId="306"/>
    <cellStyle name="Check Cell 6" xfId="307"/>
    <cellStyle name="Check Cell 7" xfId="308"/>
    <cellStyle name="Check Cell 8" xfId="309"/>
    <cellStyle name="Check Cell 9" xfId="310"/>
    <cellStyle name="Comma 2" xfId="312"/>
    <cellStyle name="Comma 3" xfId="313"/>
    <cellStyle name="Currency 2" xfId="314"/>
    <cellStyle name="Currency 3" xfId="315"/>
    <cellStyle name="Currency 4" xfId="316"/>
    <cellStyle name="Currency 4 2" xfId="317"/>
    <cellStyle name="Currency 5" xfId="318"/>
    <cellStyle name="Currency 5 2" xfId="319"/>
    <cellStyle name="Explanatory Text 10" xfId="320"/>
    <cellStyle name="Explanatory Text 11" xfId="321"/>
    <cellStyle name="Explanatory Text 2" xfId="322"/>
    <cellStyle name="Explanatory Text 2 2" xfId="323"/>
    <cellStyle name="Explanatory Text 3" xfId="324"/>
    <cellStyle name="Explanatory Text 4" xfId="325"/>
    <cellStyle name="Explanatory Text 5" xfId="326"/>
    <cellStyle name="Explanatory Text 6" xfId="327"/>
    <cellStyle name="Explanatory Text 7" xfId="328"/>
    <cellStyle name="Explanatory Text 8" xfId="329"/>
    <cellStyle name="Explanatory Text 9" xfId="330"/>
    <cellStyle name="Good 10" xfId="331"/>
    <cellStyle name="Good 11" xfId="332"/>
    <cellStyle name="Good 2" xfId="333"/>
    <cellStyle name="Good 2 2" xfId="334"/>
    <cellStyle name="Good 3" xfId="335"/>
    <cellStyle name="Good 4" xfId="336"/>
    <cellStyle name="Good 5" xfId="337"/>
    <cellStyle name="Good 6" xfId="338"/>
    <cellStyle name="Good 7" xfId="339"/>
    <cellStyle name="Good 8" xfId="340"/>
    <cellStyle name="Good 9" xfId="341"/>
    <cellStyle name="Header2" xfId="342"/>
    <cellStyle name="Heading 1 10" xfId="343"/>
    <cellStyle name="Heading 1 11" xfId="344"/>
    <cellStyle name="Heading 1 2" xfId="345"/>
    <cellStyle name="Heading 1 2 2" xfId="346"/>
    <cellStyle name="Heading 1 3" xfId="347"/>
    <cellStyle name="Heading 1 4" xfId="348"/>
    <cellStyle name="Heading 1 5" xfId="349"/>
    <cellStyle name="Heading 1 6" xfId="350"/>
    <cellStyle name="Heading 1 7" xfId="351"/>
    <cellStyle name="Heading 1 8" xfId="352"/>
    <cellStyle name="Heading 1 9" xfId="353"/>
    <cellStyle name="Heading 2 10" xfId="354"/>
    <cellStyle name="Heading 2 11" xfId="355"/>
    <cellStyle name="Heading 2 2" xfId="356"/>
    <cellStyle name="Heading 2 2 2" xfId="357"/>
    <cellStyle name="Heading 2 3" xfId="358"/>
    <cellStyle name="Heading 2 4" xfId="359"/>
    <cellStyle name="Heading 2 5" xfId="360"/>
    <cellStyle name="Heading 2 6" xfId="361"/>
    <cellStyle name="Heading 2 7" xfId="362"/>
    <cellStyle name="Heading 2 8" xfId="363"/>
    <cellStyle name="Heading 2 9" xfId="364"/>
    <cellStyle name="Heading 3 10" xfId="365"/>
    <cellStyle name="Heading 3 11" xfId="366"/>
    <cellStyle name="Heading 3 2" xfId="367"/>
    <cellStyle name="Heading 3 2 2" xfId="368"/>
    <cellStyle name="Heading 3 3" xfId="369"/>
    <cellStyle name="Heading 3 4" xfId="370"/>
    <cellStyle name="Heading 3 5" xfId="371"/>
    <cellStyle name="Heading 3 6" xfId="372"/>
    <cellStyle name="Heading 3 7" xfId="373"/>
    <cellStyle name="Heading 3 8" xfId="374"/>
    <cellStyle name="Heading 3 9" xfId="375"/>
    <cellStyle name="Heading 4 10" xfId="376"/>
    <cellStyle name="Heading 4 11" xfId="377"/>
    <cellStyle name="Heading 4 2" xfId="378"/>
    <cellStyle name="Heading 4 2 2" xfId="379"/>
    <cellStyle name="Heading 4 3" xfId="380"/>
    <cellStyle name="Heading 4 4" xfId="381"/>
    <cellStyle name="Heading 4 5" xfId="382"/>
    <cellStyle name="Heading 4 6" xfId="383"/>
    <cellStyle name="Heading 4 7" xfId="384"/>
    <cellStyle name="Heading 4 8" xfId="385"/>
    <cellStyle name="Heading 4 9" xfId="386"/>
    <cellStyle name="Hyperlink 2" xfId="388"/>
    <cellStyle name="Hyperlink 2 2" xfId="389"/>
    <cellStyle name="Hyperlink 3" xfId="390"/>
    <cellStyle name="Hyperlink 4" xfId="391"/>
    <cellStyle name="Hyperlink 5" xfId="392"/>
    <cellStyle name="Input 10" xfId="393"/>
    <cellStyle name="Input 11" xfId="394"/>
    <cellStyle name="Input 2" xfId="395"/>
    <cellStyle name="Input 2 2" xfId="396"/>
    <cellStyle name="Input 3" xfId="397"/>
    <cellStyle name="Input 4" xfId="398"/>
    <cellStyle name="Input 5" xfId="399"/>
    <cellStyle name="Input 6" xfId="400"/>
    <cellStyle name="Input 7" xfId="401"/>
    <cellStyle name="Input 8" xfId="402"/>
    <cellStyle name="Input 9" xfId="403"/>
    <cellStyle name="Komma" xfId="311" builtinId="3"/>
    <cellStyle name="Link" xfId="387" builtinId="8"/>
    <cellStyle name="Linked Cell 10" xfId="404"/>
    <cellStyle name="Linked Cell 11" xfId="405"/>
    <cellStyle name="Linked Cell 2" xfId="406"/>
    <cellStyle name="Linked Cell 2 2" xfId="407"/>
    <cellStyle name="Linked Cell 3" xfId="408"/>
    <cellStyle name="Linked Cell 4" xfId="409"/>
    <cellStyle name="Linked Cell 5" xfId="410"/>
    <cellStyle name="Linked Cell 6" xfId="411"/>
    <cellStyle name="Linked Cell 7" xfId="412"/>
    <cellStyle name="Linked Cell 8" xfId="413"/>
    <cellStyle name="Linked Cell 9" xfId="414"/>
    <cellStyle name="Neutral 10" xfId="415"/>
    <cellStyle name="Neutral 11" xfId="416"/>
    <cellStyle name="Neutral 2" xfId="417"/>
    <cellStyle name="Neutral 2 2" xfId="418"/>
    <cellStyle name="Neutral 3" xfId="419"/>
    <cellStyle name="Neutral 4" xfId="420"/>
    <cellStyle name="Neutral 5" xfId="421"/>
    <cellStyle name="Neutral 6" xfId="422"/>
    <cellStyle name="Neutral 7" xfId="423"/>
    <cellStyle name="Neutral 8" xfId="424"/>
    <cellStyle name="Neutral 9" xfId="425"/>
    <cellStyle name="Normal 10" xfId="426"/>
    <cellStyle name="Normal 11" xfId="427"/>
    <cellStyle name="Normal 12" xfId="428"/>
    <cellStyle name="Normal 12 2" xfId="429"/>
    <cellStyle name="Normal 13" xfId="430"/>
    <cellStyle name="Normal 13 2" xfId="431"/>
    <cellStyle name="Normal 14" xfId="432"/>
    <cellStyle name="Normal 15" xfId="433"/>
    <cellStyle name="Normal 15 2" xfId="434"/>
    <cellStyle name="Normal 16" xfId="435"/>
    <cellStyle name="Normal 16 2" xfId="436"/>
    <cellStyle name="Normal 17" xfId="437"/>
    <cellStyle name="Normal 17 2" xfId="438"/>
    <cellStyle name="Normal 17 3" xfId="571"/>
    <cellStyle name="Normal 17 4" xfId="572"/>
    <cellStyle name="Normal 18" xfId="439"/>
    <cellStyle name="Normal 18 2" xfId="440"/>
    <cellStyle name="Normal 2" xfId="441"/>
    <cellStyle name="Normal 2 2" xfId="442"/>
    <cellStyle name="Normal 2 2 2" xfId="443"/>
    <cellStyle name="Normal 2 2 2 2" xfId="444"/>
    <cellStyle name="Normal 2 2 3" xfId="445"/>
    <cellStyle name="Normal 2 2 4" xfId="446"/>
    <cellStyle name="Normal 2 3" xfId="447"/>
    <cellStyle name="Normal 2 3 2" xfId="448"/>
    <cellStyle name="Normal 2 4" xfId="449"/>
    <cellStyle name="Normal 2 4 2" xfId="450"/>
    <cellStyle name="Normal 2 5" xfId="451"/>
    <cellStyle name="Normal 3" xfId="452"/>
    <cellStyle name="Normal 3 2" xfId="453"/>
    <cellStyle name="Normal 3 3" xfId="454"/>
    <cellStyle name="Normal 3 4" xfId="455"/>
    <cellStyle name="Normal 3 4 2" xfId="456"/>
    <cellStyle name="Normal 3 5" xfId="457"/>
    <cellStyle name="Normal 3 6" xfId="458"/>
    <cellStyle name="Normal 4" xfId="459"/>
    <cellStyle name="Normal 4 2" xfId="460"/>
    <cellStyle name="Normal 4 3" xfId="461"/>
    <cellStyle name="Normal 4 3 2" xfId="462"/>
    <cellStyle name="Normal 4 4" xfId="463"/>
    <cellStyle name="Normal 5" xfId="464"/>
    <cellStyle name="Normal 5 2" xfId="465"/>
    <cellStyle name="Normal 5 3" xfId="466"/>
    <cellStyle name="Normal 5 3 2" xfId="467"/>
    <cellStyle name="Normal 6" xfId="468"/>
    <cellStyle name="Normal 6 2" xfId="469"/>
    <cellStyle name="Normal 6 3" xfId="470"/>
    <cellStyle name="Normal 6 3 2" xfId="471"/>
    <cellStyle name="Normal 7" xfId="472"/>
    <cellStyle name="Normal 8" xfId="473"/>
    <cellStyle name="Normal 9" xfId="474"/>
    <cellStyle name="Normal 9 2" xfId="475"/>
    <cellStyle name="Normal_a" xfId="476"/>
    <cellStyle name="Note 10" xfId="477"/>
    <cellStyle name="Note 10 2" xfId="478"/>
    <cellStyle name="Note 11" xfId="479"/>
    <cellStyle name="Note 2" xfId="480"/>
    <cellStyle name="Note 2 2" xfId="481"/>
    <cellStyle name="Note 2 3" xfId="482"/>
    <cellStyle name="Note 2 3 2" xfId="483"/>
    <cellStyle name="Note 2 4" xfId="484"/>
    <cellStyle name="Note 2 4 2" xfId="485"/>
    <cellStyle name="Note 2 5" xfId="486"/>
    <cellStyle name="Note 2 6" xfId="487"/>
    <cellStyle name="Note 2 7" xfId="488"/>
    <cellStyle name="Note 3" xfId="489"/>
    <cellStyle name="Note 3 2" xfId="490"/>
    <cellStyle name="Note 3 3" xfId="491"/>
    <cellStyle name="Note 3 3 2" xfId="492"/>
    <cellStyle name="Note 4" xfId="493"/>
    <cellStyle name="Note 4 2" xfId="494"/>
    <cellStyle name="Note 4 3" xfId="495"/>
    <cellStyle name="Note 4 3 2" xfId="496"/>
    <cellStyle name="Note 5" xfId="497"/>
    <cellStyle name="Note 5 2" xfId="498"/>
    <cellStyle name="Note 5 3" xfId="499"/>
    <cellStyle name="Note 5 3 2" xfId="500"/>
    <cellStyle name="Note 6" xfId="501"/>
    <cellStyle name="Note 6 2" xfId="502"/>
    <cellStyle name="Note 6 3" xfId="503"/>
    <cellStyle name="Note 6 3 2" xfId="504"/>
    <cellStyle name="Note 7" xfId="505"/>
    <cellStyle name="Note 8" xfId="506"/>
    <cellStyle name="Note 9" xfId="507"/>
    <cellStyle name="Output 10" xfId="508"/>
    <cellStyle name="Output 11" xfId="509"/>
    <cellStyle name="Output 2" xfId="510"/>
    <cellStyle name="Output 2 2" xfId="511"/>
    <cellStyle name="Output 3" xfId="512"/>
    <cellStyle name="Output 4" xfId="513"/>
    <cellStyle name="Output 5" xfId="514"/>
    <cellStyle name="Output 6" xfId="515"/>
    <cellStyle name="Output 7" xfId="516"/>
    <cellStyle name="Output 8" xfId="517"/>
    <cellStyle name="Output 9" xfId="518"/>
    <cellStyle name="Percent 2" xfId="519"/>
    <cellStyle name="Percent 2 2" xfId="520"/>
    <cellStyle name="Percent 2 3" xfId="521"/>
    <cellStyle name="Percent 3" xfId="522"/>
    <cellStyle name="Percent 3 2" xfId="523"/>
    <cellStyle name="Percent 3 3" xfId="524"/>
    <cellStyle name="Percent 4" xfId="525"/>
    <cellStyle name="Percent 5" xfId="526"/>
    <cellStyle name="Prozent" xfId="574" builtinId="5"/>
    <cellStyle name="Standard" xfId="0" builtinId="0"/>
    <cellStyle name="Standard_BONDFIND_swap_Spread" xfId="527"/>
    <cellStyle name="Style 1" xfId="528"/>
    <cellStyle name="Style 1 2" xfId="529"/>
    <cellStyle name="Title 10" xfId="530"/>
    <cellStyle name="Title 10 2" xfId="531"/>
    <cellStyle name="Title 11" xfId="532"/>
    <cellStyle name="Title 2" xfId="533"/>
    <cellStyle name="Title 2 2" xfId="534"/>
    <cellStyle name="Title 3" xfId="535"/>
    <cellStyle name="Title 3 2" xfId="536"/>
    <cellStyle name="Title 4" xfId="537"/>
    <cellStyle name="Title 4 2" xfId="538"/>
    <cellStyle name="Title 5" xfId="539"/>
    <cellStyle name="Title 5 2" xfId="540"/>
    <cellStyle name="Title 6" xfId="541"/>
    <cellStyle name="Title 6 2" xfId="542"/>
    <cellStyle name="Title 7" xfId="543"/>
    <cellStyle name="Title 7 2" xfId="544"/>
    <cellStyle name="Title 8" xfId="545"/>
    <cellStyle name="Title 8 2" xfId="546"/>
    <cellStyle name="Title 9" xfId="547"/>
    <cellStyle name="Title 9 2" xfId="548"/>
    <cellStyle name="Total 10" xfId="549"/>
    <cellStyle name="Total 11" xfId="550"/>
    <cellStyle name="Total 2" xfId="551"/>
    <cellStyle name="Total 2 2" xfId="552"/>
    <cellStyle name="Total 3" xfId="553"/>
    <cellStyle name="Total 4" xfId="554"/>
    <cellStyle name="Total 5" xfId="555"/>
    <cellStyle name="Total 6" xfId="556"/>
    <cellStyle name="Total 7" xfId="557"/>
    <cellStyle name="Total 8" xfId="558"/>
    <cellStyle name="Total 9" xfId="559"/>
    <cellStyle name="Währung" xfId="573" builtinId="4"/>
    <cellStyle name="Warning Text 10" xfId="560"/>
    <cellStyle name="Warning Text 11" xfId="561"/>
    <cellStyle name="Warning Text 2" xfId="562"/>
    <cellStyle name="Warning Text 2 2" xfId="563"/>
    <cellStyle name="Warning Text 3" xfId="564"/>
    <cellStyle name="Warning Text 4" xfId="565"/>
    <cellStyle name="Warning Text 5" xfId="566"/>
    <cellStyle name="Warning Text 6" xfId="567"/>
    <cellStyle name="Warning Text 7" xfId="568"/>
    <cellStyle name="Warning Text 8" xfId="569"/>
    <cellStyle name="Warning Text 9" xfId="57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volatileDependencies.xml><?xml version="1.0" encoding="utf-8"?>
<volTypes xmlns="http://schemas.openxmlformats.org/spreadsheetml/2006/main">
  <volType type="realTimeData">
    <main first="bloomberg.rtd">
      <tp t="e">
        <v>#N/A</v>
        <stp/>
        <stp>##V3_BCURVESTRIPV12</stp>
        <stp>[XAPI.xlsx]=BCURVEFWD!R31C2</stp>
        <stp>S201</stp>
        <tr r="B31" s="56"/>
      </tp>
      <tp t="e">
        <v>#N/A</v>
        <stp/>
        <stp>##V3_BDSV12</stp>
        <stp>kfx index</stp>
        <stp>indx mweight</stp>
        <stp>[XAPI.xlsx]=BDS!R56C3</stp>
        <stp>cols=2;rows=20</stp>
        <tr r="C56" s="39"/>
      </tp>
      <tp t="e">
        <v>#N/A</v>
        <stp/>
        <stp>##V3_BCURVEFWDV12</stp>
        <stp>[XAPI.xlsx]=BCURVEFWD!R24C2</stp>
        <stp>EUR.3M:BLOOMBERG DC 383479</stp>
        <stp>zc.bid</stp>
        <stp>term</stp>
        <stp>43735</stp>
        <stp>tenor</stp>
        <stp>44100</stp>
        <tr r="B24" s="56"/>
      </tp>
      <tp t="e">
        <v>#N/A</v>
        <stp/>
        <stp>##V3_BDHV12</stp>
        <stp>dbk gr equity</stp>
        <stp>px last</stp>
        <stp>5/1/2016</stp>
        <stp>5/9/2016</stp>
        <stp>[XAPI.xlsx]=BDH!R109C3</stp>
        <stp>days=w, fill=c, dir=h</stp>
        <stp>cols=6;rows=2</stp>
        <tr r="C109" s="41"/>
      </tp>
      <tp t="e">
        <v>#N/A</v>
        <stp/>
        <stp>##V3_BDSV12</stp>
        <stp>03072SU45 mtge</stp>
        <stp>mtge cmo group list</stp>
        <stp>[XAPI.xlsx]USA Mortgage Bonds!R94C2</stp>
        <stp>StartCol=2</stp>
        <stp>EndCol=2</stp>
        <stp>cols=1;rows=19</stp>
        <tr r="B94" s="48"/>
      </tp>
      <tp t="e">
        <v>#N/A</v>
        <stp/>
        <stp>##V3_BCURVEFWDV12</stp>
        <stp>[XAPI.xlsx]=BCURVEFWD!R14C2</stp>
        <stp>EUR.3M:BLOOMBERG DC 574483</stp>
        <stp>zc.bid</stp>
        <stp>term</stp>
        <stp>43370</stp>
        <stp>tenor</stp>
        <stp>44466</stp>
        <tr r="B14" s="56"/>
      </tp>
      <tp t="e">
        <v>#N/A</v>
        <stp/>
        <stp>##V3_BCURVESTRIPV12</stp>
        <stp>[XAPI.xlsx]=BCURVEFWD!R12C2</stp>
        <stp>S201</stp>
        <stp>curvedate=today</stp>
        <tr r="B12" s="56"/>
      </tp>
      <tp t="e">
        <v>#N/A</v>
        <stp/>
        <stp>##V3_BDHV12</stp>
        <stp>03072SU45 mtge</stp>
        <stp>px last</stp>
        <stp>8/25/2015</stp>
        <stp>10/14/2015</stp>
        <stp>[XAPI.xlsx]USA Mortgage Bonds!R127C10</stp>
        <stp>cols=2;rows=35</stp>
        <tr r="J127" s="48"/>
      </tp>
      <tp t="e">
        <v>#N/A</v>
        <stp/>
        <stp>##V3_BDHV12</stp>
        <stp>ibm us equity</stp>
        <stp>px last</stp>
        <stp>4/20/2016</stp>
        <stp>4/26/2016</stp>
        <stp>[XAPI.xlsx]=BDH!R45C3</stp>
        <stp>dir=h</stp>
        <stp>cols=5;rows=2</stp>
        <tr r="C45" s="41"/>
      </tp>
    </main>
    <main first="bloomberg.rtd">
      <tp t="e">
        <v>#N/A</v>
        <stp/>
        <stp>##V3_BDPV12</stp>
        <stp/>
        <stp>Security DES</stp>
        <stp>[XAPI.xlsx]=BSRCH!R13C4</stp>
        <tr r="D13" s="65"/>
      </tp>
      <tp t="e">
        <v>#N/A</v>
        <stp/>
        <stp>##V3_BDPV12</stp>
        <stp/>
        <stp>Security DES</stp>
        <stp>[XAPI.xlsx]=BSRCH!R23C4</stp>
        <tr r="D23" s="65"/>
      </tp>
      <tp t="e">
        <v>#N/A</v>
        <stp/>
        <stp>##V3_BDHV12</stp>
        <stp>dbk gr equity</stp>
        <stp>px last</stp>
        <stp>ed-1fq</stp>
        <stp/>
        <stp>[XAPI.xlsx]=BDH!R137C9</stp>
        <stp>cols=2;rows=77</stp>
        <tr r="I137" s="41"/>
      </tp>
      <tp t="e">
        <v>#N/A</v>
        <stp/>
        <stp>##V3_BDPV12</stp>
        <stp/>
        <stp>Security DES</stp>
        <stp>[XAPI.xlsx]=BSRCH!R22C4</stp>
        <tr r="D22" s="65"/>
      </tp>
      <tp t="e">
        <v>#N/A</v>
        <stp/>
        <stp>##V3_BDPV12</stp>
        <stp/>
        <stp>Security DES</stp>
        <stp>[XAPI.xlsx]=BSRCH!R21C4</stp>
        <tr r="D21" s="65"/>
      </tp>
      <tp t="e">
        <v>#N/A</v>
        <stp/>
        <stp>##V3_BDPV12</stp>
        <stp/>
        <stp>Security DES</stp>
        <stp>[XAPI.xlsx]=BSRCH!R31C4</stp>
        <tr r="D31" s="65"/>
      </tp>
      <tp t="e">
        <v>#N/A</v>
        <stp/>
        <stp>##V3_BDPV12</stp>
        <stp/>
        <stp>Security DES</stp>
        <stp>[XAPI.xlsx]=BSRCH!R20C4</stp>
        <tr r="D20" s="65"/>
      </tp>
      <tp t="e">
        <v>#N/A</v>
        <stp/>
        <stp>##V3_BDPV12</stp>
        <stp/>
        <stp>Security DES</stp>
        <stp>[XAPI.xlsx]=BSRCH!R30C4</stp>
        <tr r="D30" s="65"/>
      </tp>
    </main>
    <main first="bloomberg.rtd">
      <tp t="e">
        <v>#N/A</v>
        <stp/>
        <stp>##V3_BDPV12</stp>
        <stp/>
        <stp>Security DES</stp>
        <stp>[XAPI.xlsx]=BSRCH!R17C4</stp>
        <tr r="D17" s="65"/>
      </tp>
      <tp t="e">
        <v>#N/A</v>
        <stp/>
        <stp>##V3_BDPV12</stp>
        <stp/>
        <stp>Security DES</stp>
        <stp>[XAPI.xlsx]=BSRCH!R27C4</stp>
        <tr r="D27" s="65"/>
      </tp>
      <tp t="e">
        <v>#N/A</v>
        <stp/>
        <stp>##V3_BDPV12</stp>
        <stp/>
        <stp>Security DES</stp>
        <stp>[XAPI.xlsx]=BSRCH!R16C4</stp>
        <tr r="D16" s="65"/>
      </tp>
      <tp t="e">
        <v>#N/A</v>
        <stp/>
        <stp>##V3_BDPV12</stp>
        <stp/>
        <stp>Security DES</stp>
        <stp>[XAPI.xlsx]=BSRCH!R26C4</stp>
        <tr r="D26" s="65"/>
      </tp>
      <tp t="e">
        <v>#N/A</v>
        <stp/>
        <stp>##V3_BDPV12</stp>
        <stp/>
        <stp>Security DES</stp>
        <stp>[XAPI.xlsx]=BSRCH!R15C4</stp>
        <tr r="D15" s="65"/>
      </tp>
      <tp t="e">
        <v>#N/A</v>
        <stp/>
        <stp>##V3_BDPV12</stp>
        <stp/>
        <stp>Security DES</stp>
        <stp>[XAPI.xlsx]=BSRCH!R25C4</stp>
        <tr r="D25" s="65"/>
      </tp>
      <tp t="e">
        <v>#N/A</v>
        <stp/>
        <stp>##V3_BCURVEV12</stp>
        <stp>[XAPI.xlsx]Swap &amp; Zero Curves!R38C2</stp>
        <stp>EUR.OIS</stp>
        <stp>CurveDate=Today</stp>
        <tr r="B38" s="72"/>
      </tp>
    </main>
    <main first="bloomberg.rtd">
      <tp t="e">
        <v>#N/A</v>
        <stp/>
        <stp>##V3_BDPV12</stp>
        <stp/>
        <stp>Security DES</stp>
        <stp>[XAPI.xlsx]=BSRCH!R14C4</stp>
        <tr r="D14" s="65"/>
      </tp>
      <tp t="e">
        <v>#N/A</v>
        <stp/>
        <stp>##V3_BDPV12</stp>
        <stp/>
        <stp>Security DES</stp>
        <stp>[XAPI.xlsx]=BSRCH!R24C4</stp>
        <tr r="D24" s="65"/>
      </tp>
    </main>
    <main first="bloomberg.rtd">
      <tp t="e">
        <v>#N/A</v>
        <stp/>
        <stp>##V3_BDPV12</stp>
        <stp/>
        <stp>Security DES</stp>
        <stp>[XAPI.xlsx]=BSRCH!R19C4</stp>
        <tr r="D19" s="65"/>
      </tp>
      <tp t="e">
        <v>#N/A</v>
        <stp/>
        <stp>##V3_BDPV12</stp>
        <stp/>
        <stp>Security DES</stp>
        <stp>[XAPI.xlsx]=BSRCH!R29C4</stp>
        <tr r="D29" s="65"/>
      </tp>
      <tp t="e">
        <v>#N/A</v>
        <stp/>
        <stp>##V3_BDPV12</stp>
        <stp/>
        <stp>Security DES</stp>
        <stp>[XAPI.xlsx]=BSRCH!R39C4</stp>
        <tr r="D39" s="65"/>
      </tp>
      <tp t="e">
        <v>#N/A</v>
        <stp/>
        <stp>##V3_BDPV12</stp>
        <stp/>
        <stp>Security DES</stp>
        <stp>[XAPI.xlsx]=BSRCH!R18C4</stp>
        <tr r="D18" s="65"/>
      </tp>
      <tp t="e">
        <v>#N/A</v>
        <stp/>
        <stp>##V3_BDPV12</stp>
        <stp/>
        <stp>Security DES</stp>
        <stp>[XAPI.xlsx]=BSRCH!R28C4</stp>
        <tr r="D28" s="65"/>
      </tp>
    </main>
    <main first="bloomberg.rtd">
      <tp t="e">
        <v>#N/A</v>
        <stp/>
        <stp>##V3_BCURVEINTV12</stp>
        <stp>[XAPI.xlsx]Spreads to curves!R54C13</stp>
        <stp>EUR.3M:BLOOMBERG DC 922056</stp>
        <stp>Maturity</stp>
        <stp>20180210</stp>
        <tr r="M54" s="57"/>
      </tp>
    </main>
    <main first="bloomberg.rtd">
      <tp t="e">
        <v>#N/A</v>
        <stp/>
        <stp>##V3_BCURVEINTV12</stp>
        <stp>[XAPI.xlsx]Spreads to curves!R55C13</stp>
        <stp>EUR.3M:BLOOMBERG DC 922056</stp>
        <stp>Maturity</stp>
        <stp>20161030</stp>
        <tr r="M55" s="57"/>
      </tp>
    </main>
    <main first="bloomberg.rtd">
      <tp t="e">
        <v>#N/A</v>
        <stp/>
        <stp>##V3_BDHV12</stp>
        <stp>dte gr equity</stp>
        <stp>px last</stp>
        <stp>5/1/2016</stp>
        <stp>5/9/2016</stp>
        <stp>[XAPI.xlsx]=BDH!R113C3</stp>
        <stp>days=w, fill=c, dir=h, dts=h</stp>
        <stp>cols=6;rows=1</stp>
        <tr r="C113" s="41"/>
      </tp>
      <tp t="e">
        <v>#N/A</v>
        <stp/>
        <stp>##V3_BDHV12</stp>
        <stp>sie gr equity</stp>
        <stp>px last</stp>
        <stp>5/1/2016</stp>
        <stp>5/9/2016</stp>
        <stp>[XAPI.xlsx]=BDH!R111C3</stp>
        <stp>days=w, fill=c, dir=h, dts=h</stp>
        <stp>cols=6;rows=1</stp>
        <tr r="C111" s="41"/>
      </tp>
      <tp t="e">
        <v>#N/A</v>
        <stp/>
        <stp>##V3_BDSV12</stp>
        <stp>SIE GR Equity</stp>
        <stp>SUPPLY_CHAIN_CUSTOMERS</stp>
        <stp>[XAPI.xlsx]Supply Chain!R27C4</stp>
        <stp>cols=1;rows=5</stp>
        <tr r="D27" s="78"/>
      </tp>
      <tp t="e">
        <v>#N/A</v>
        <stp/>
        <stp>##V3_BDSV12</stp>
        <stp>SIE GR Equity</stp>
        <stp>SUPPLY_CHAIN_SUPPLIERS</stp>
        <stp>[XAPI.xlsx]Supply Chain!R20C4</stp>
        <stp>cols=1;rows=5</stp>
        <tr r="D20" s="78"/>
      </tp>
      <tp t="e">
        <v>#N/A</v>
        <stp/>
        <stp>##V3_BDSV12</stp>
        <stp>YCGT0249 Index</stp>
        <stp>CURVE_TENOR_RATES</stp>
        <stp>[XAPI.xlsx]=BCURVEFWD!R60C2</stp>
        <stp>EndCol=2</stp>
        <stp>Headers=True</stp>
        <stp>cols=2;rows=15</stp>
        <tr r="B60" s="56"/>
      </tp>
      <tp t="e">
        <v>#N/A</v>
        <stp/>
        <stp>##V3_BDHV12</stp>
        <stp>sie gr equity</stp>
        <stp>px last</stp>
        <stp>4/7/2016</stp>
        <stp>4/11/2016</stp>
        <stp>[XAPI.xlsx]=BDH!R66C4</stp>
        <stp>dir_x0002__x0003_curr_x0002__x0003_sort</stp>
        <stp>v_x0002__x0003_usd_x0002__x0003_d</stp>
        <stp>cols=2;rows=3</stp>
        <tr r="D66" s="41"/>
      </tp>
      <tp t="e">
        <v>#N/A</v>
        <stp/>
        <stp>##V3_BCURVESTRIPV12</stp>
        <stp>[XAPI.xlsx]=BCURVE =BCURVESTRIP =BVIEW!R31C15</stp>
        <stp>S21</stp>
        <tr r="O31" s="55"/>
      </tp>
      <tp t="e">
        <v>#N/A</v>
        <stp/>
        <stp>##V3_BDSV12</stp>
        <stp>IBM US equity</stp>
        <stp>cie des bulk</stp>
        <stp>[XAPI.xlsx]=BDS!R45C3</stp>
        <stp>cols=1;rows=5</stp>
        <tr r="C45" s="39"/>
      </tp>
      <tp t="e">
        <v>#N/A</v>
        <stp/>
        <stp>##V3_BCURVEV12</stp>
        <stp>[XAPI.xlsx]=BCURVE =BCURVESTRIP =BVIEW!R35C2</stp>
        <stp>EUR.3M</stp>
        <stp>CurveDate=Today</stp>
        <tr r="B35" s="55"/>
      </tp>
      <tp t="e">
        <v>#N/A</v>
        <stp/>
        <stp>##V3_BMATRIXV12</stp>
        <stp>[XAPI_BQL.xlsx]=BMATRIX!R24C3</stp>
        <stp>HSBA LN equity_x0002__x0003_sie gr equity_x0002__x0003_bayn gr equity</stp>
        <stp>px last,px volume,pe ratio,time</stp>
        <stp>headers=true</stp>
        <stp>snapshot=14:40:00</stp>
        <tr r="C24" s="81"/>
      </tp>
      <tp t="e">
        <v>#N/A</v>
        <stp/>
        <stp>##V3_BCURVESTRIPV12</stp>
        <stp>[XAPI.xlsx]Swap &amp; Zero Curves!R34C11</stp>
        <stp>S133</stp>
        <stp>CurveDate=42012</stp>
        <tr r="K34" s="72"/>
      </tp>
      <tp t="e">
        <v>#N/A</v>
        <stp/>
        <stp>##V3_BCURVEINTV12</stp>
        <stp>[XAPI.xlsx]Spreads to curves!R51C14</stp>
        <stp>EUR.3M:BLOOMBERG DC 922056</stp>
        <stp>Zc.Ask</stp>
        <stp>3m</stp>
        <tr r="N51" s="57"/>
      </tp>
      <tp t="e">
        <v>#N/A</v>
        <stp/>
        <stp>##V3_BCURVEINTV12</stp>
        <stp>[XAPI.xlsx]Spreads to curves!R51C15</stp>
        <stp>EUR.3M:BLOOMBERG DC 922056</stp>
        <stp>Df.Ask</stp>
        <stp>3m</stp>
        <tr r="O51" s="57"/>
      </tp>
      <tp t="e">
        <v>#N/A</v>
        <stp/>
        <stp>##V3_BCURVEINTV12</stp>
        <stp>[XAPI.xlsx]Spreads to curves!R53C15</stp>
        <stp>EUR.3M:BLOOMBERG DC 922056</stp>
        <stp>Df.Ask</stp>
        <stp>4y</stp>
        <tr r="O53" s="57"/>
      </tp>
      <tp t="e">
        <v>#N/A</v>
        <stp/>
        <stp>##V3_BCURVEINTV12</stp>
        <stp>[XAPI.xlsx]Spreads to curves!R53C14</stp>
        <stp>EUR.3M:BLOOMBERG DC 922056</stp>
        <stp>Zc.Ask</stp>
        <stp>4y</stp>
        <tr r="N53" s="57"/>
      </tp>
      <tp t="e">
        <v>#N/A</v>
        <stp/>
        <stp>##V3_BDHV12</stp>
        <stp>sap gr equity</stp>
        <stp>px last</stp>
        <stp>5/1/2016</stp>
        <stp>5/9/2016</stp>
        <stp>[XAPI.xlsx]=BDH!R112C3</stp>
        <stp>days=w, fill=c, dir=h, dts=h</stp>
        <stp>cols=6;rows=1</stp>
        <tr r="C112" s="41"/>
      </tp>
      <tp t="e">
        <v>#N/A</v>
        <stp/>
        <stp>##V3_BDSV12</stp>
        <stp>SIE GR Equity</stp>
        <stp>SUPPLY_CHAIN_CUSTOMERS_ALL_DATA</stp>
        <stp>[XAPI.xlsx]Supply Chain!R13C4</stp>
        <stp>cols=12;rows=5</stp>
        <tr r="D13" s="78"/>
      </tp>
      <tp t="e">
        <v>#N/A</v>
        <stp/>
        <stp>##V3_BCURVEINTV12</stp>
        <stp>[XAPI.xlsx]Spreads to curves!R52C13</stp>
        <stp>EUR.3M:BLOOMBERG DC 922056</stp>
        <stp>Maturity</stp>
        <stp>23 bd</stp>
        <tr r="M52" s="57"/>
      </tp>
      <tp t="e">
        <v>#N/A</v>
        <stp/>
        <stp>##V3_BDSV12</stp>
        <stp>YCGT0016 Index</stp>
        <stp>curve members</stp>
        <stp>[XAPI.xlsx]Yield Curves!R55C3</stp>
        <stp>cols=1;rows=17</stp>
        <tr r="C55" s="71"/>
      </tp>
      <tp t="e">
        <v>#N/A</v>
        <stp/>
        <stp>##V3_BDHV12</stp>
        <stp>sie gr equity</stp>
        <stp>px last</stp>
        <stp>4/20/2016</stp>
        <stp>4/27/2016</stp>
        <stp>[XAPI.xlsx]=BDH!R55C3</stp>
        <stp xml:space="preserve"> curr=eur, sort=d</stp>
        <stp>cols=2;rows=6</stp>
        <tr r="C55" s="41"/>
      </tp>
      <tp t="e">
        <v>#N/A</v>
        <stp/>
        <stp>##V3_BCURVEINTV12</stp>
        <stp>[XAPI.xlsx]Spreads to curves!R55C14</stp>
        <stp>EUR.3M:BLOOMBERG DC 922056</stp>
        <stp>Zc.Ask</stp>
        <stp>20161030</stp>
        <tr r="N55" s="57"/>
      </tp>
    </main>
    <main first="bloomberg.ccyreader">
      <tp t="e">
        <v>#N/A</v>
        <stp/>
        <stp>#track</stp>
        <stp>DBG</stp>
        <stp>XAPI</stp>
        <stp>1.0</stp>
        <stp>OpenFile</stp>
        <tr r="A1" s="82"/>
      </tp>
    </main>
    <main first="bofaddin.rtdserver">
      <tp t="e">
        <v>#N/A</v>
        <stp/>
        <stp>BVIEW|777590958651816465</stp>
        <tr r="G39" s="72"/>
      </tp>
    </main>
    <main first="bloomberg.rtd">
      <tp t="e">
        <v>#N/A</v>
        <stp/>
        <stp>##V3_BCURVEINTV12</stp>
        <stp>[XAPI.xlsx]Spreads to curves!R54C14</stp>
        <stp>EUR.3M:BLOOMBERG DC 922056</stp>
        <stp>Zc.Ask</stp>
        <stp>20180210</stp>
        <tr r="N54" s="57"/>
      </tp>
    </main>
    <main first="bloomberg.rtd">
      <tp t="e">
        <v>#N/A</v>
        <stp/>
        <stp>##V3_BDSV12</stp>
        <stp>YCGT0018 index</stp>
        <stp>CURVE_MEMBERS</stp>
        <stp>[XAPI.xlsx]Yield Curves!R231C3</stp>
        <stp>CURVE_DATE=20150730</stp>
        <stp>headers=yes</stp>
        <stp>dir=h</stp>
        <stp>cols=17;rows=1</stp>
        <tr r="C231" s="71"/>
      </tp>
      <tp t="e">
        <v>#N/A</v>
        <stp/>
        <stp>##V3_BDSV12</stp>
        <stp>YCGT0018 index</stp>
        <stp>CURVE_MEMBERS</stp>
        <stp>[XAPI.xlsx]Yield Curves!R210C3</stp>
        <stp>CURVE_DATE=20150630</stp>
        <stp>headers=yes</stp>
        <stp>dir=h</stp>
        <stp>cols=17;rows=1</stp>
        <tr r="C210" s="71"/>
      </tp>
      <tp t="e">
        <v>#N/A</v>
        <stp/>
        <stp>##V3_BDSV12</stp>
        <stp>YCGT0018 index</stp>
        <stp>CURVE_MEMBERS</stp>
        <stp>[XAPI.xlsx]Yield Curves!R232C3</stp>
        <stp>CURVE_DATE=20150731</stp>
        <stp>headers=yes</stp>
        <stp>dir=h</stp>
        <stp>cols=17;rows=1</stp>
        <tr r="C232" s="71"/>
      </tp>
    </main>
    <main first="bloomberg.rtd">
      <tp t="e">
        <v>#N/A</v>
        <stp/>
        <stp>##V3_BDHV12</stp>
        <stp>bas gr equity</stp>
        <stp>short and long term debt</stp>
        <stp>1/1/2015</stp>
        <stp>1/1/2016</stp>
        <stp>[XAPI.xlsx]=BDH!R123C2</stp>
        <stp>cols=2;rows=4</stp>
        <tr r="B123" s="41"/>
      </tp>
      <tp t="e">
        <v>#N/A</v>
        <stp/>
        <stp>##V3_BDSV12</stp>
        <stp>YCGT0018 index</stp>
        <stp>CURVE_MEMBERS</stp>
        <stp>[XAPI.xlsx]Yield Curves!R227C3</stp>
        <stp>CURVE_DATE=20150724</stp>
        <stp>headers=yes</stp>
        <stp>dir=h</stp>
        <stp>cols=17;rows=1</stp>
        <tr r="C227" s="71"/>
      </tp>
      <tp t="e">
        <v>#N/A</v>
        <stp/>
        <stp>##V3_BDSV12</stp>
        <stp>YCGT0018 index</stp>
        <stp>CURVE_MEMBERS</stp>
        <stp>[XAPI.xlsx]Yield Curves!R206C3</stp>
        <stp>CURVE_DATE=20150624</stp>
        <stp>headers=yes</stp>
        <stp>dir=h</stp>
        <stp>cols=17;rows=1</stp>
        <tr r="C206" s="71"/>
      </tp>
      <tp t="e">
        <v>#N/A</v>
        <stp/>
        <stp>##V3_BDSV12</stp>
        <stp>YCGT0018 index</stp>
        <stp>CURVE_MEMBERS</stp>
        <stp>[XAPI.xlsx]Yield Curves!R207C3</stp>
        <stp>CURVE_DATE=20150625</stp>
        <stp>headers=yes</stp>
        <stp>dir=h</stp>
        <stp>cols=17;rows=1</stp>
        <tr r="C207" s="71"/>
      </tp>
      <tp t="e">
        <v>#N/A</v>
        <stp/>
        <stp>##V3_BDSV12</stp>
        <stp>YCGT0018 index</stp>
        <stp>CURVE_MEMBERS</stp>
        <stp>[XAPI.xlsx]Yield Curves!R208C3</stp>
        <stp>CURVE_DATE=20150626</stp>
        <stp>headers=yes</stp>
        <stp>dir=h</stp>
        <stp>cols=17;rows=1</stp>
        <tr r="C208" s="71"/>
      </tp>
      <tp t="e">
        <v>#N/A</v>
        <stp/>
        <stp>##V3_BDSV12</stp>
        <stp>YCGT0018 index</stp>
        <stp>CURVE_MEMBERS</stp>
        <stp>[XAPI.xlsx]Yield Curves!R228C3</stp>
        <stp>CURVE_DATE=20150727</stp>
        <stp>headers=yes</stp>
        <stp>dir=h</stp>
        <stp>cols=17;rows=1</stp>
        <tr r="C228" s="71"/>
      </tp>
      <tp t="e">
        <v>#N/A</v>
        <stp/>
        <stp>##V3_BDSV12</stp>
        <stp>YCGT0018 index</stp>
        <stp>CURVE_MEMBERS</stp>
        <stp>[XAPI.xlsx]Yield Curves!R246C3</stp>
        <stp>CURVE_DATE=20150820</stp>
        <stp>headers=yes</stp>
        <stp>dir=h</stp>
        <stp>cols=17;rows=1</stp>
        <tr r="C246" s="71"/>
      </tp>
      <tp t="e">
        <v>#N/A</v>
        <stp/>
        <stp>##V3_BDSV12</stp>
        <stp>YCGT0018 index</stp>
        <stp>CURVE_MEMBERS</stp>
        <stp>[XAPI.xlsx]Yield Curves!R223C3</stp>
        <stp>CURVE_DATE=20150720</stp>
        <stp>headers=yes</stp>
        <stp>dir=h</stp>
        <stp>cols=17;rows=1</stp>
        <tr r="C223" s="71"/>
      </tp>
      <tp t="e">
        <v>#N/A</v>
        <stp/>
        <stp>##V3_BCURVESTRIPV12</stp>
        <stp>[XAPI.xlsx]Spreads to curves!R50C10</stp>
        <stp>EUR.3M</stp>
        <tr r="J50" s="57"/>
      </tp>
      <tp t="e">
        <v>#N/A</v>
        <stp/>
        <stp>##V3_BDSV12</stp>
        <stp>YCGT0018 index</stp>
        <stp>CURVE_MEMBERS</stp>
        <stp>[XAPI.xlsx]Yield Curves!R247C3</stp>
        <stp>CURVE_DATE=20150821</stp>
        <stp>headers=yes</stp>
        <stp>dir=h</stp>
        <stp>cols=17;rows=1</stp>
        <tr r="C247" s="71"/>
      </tp>
      <tp t="e">
        <v>#N/A</v>
        <stp/>
        <stp>##V3_BDSV12</stp>
        <stp>YCGT0018 index</stp>
        <stp>CURVE_MEMBERS</stp>
        <stp>[XAPI.xlsx]Yield Curves!R224C3</stp>
        <stp>CURVE_DATE=20150721</stp>
        <stp>headers=yes</stp>
        <stp>dir=h</stp>
        <stp>cols=17;rows=1</stp>
        <tr r="C224" s="71"/>
      </tp>
      <tp t="e">
        <v>#N/A</v>
        <stp/>
        <stp>##V3_BDSV12</stp>
        <stp>YCGT0018 index</stp>
        <stp>CURVE_MEMBERS</stp>
        <stp>[XAPI.xlsx]Yield Curves!R225C3</stp>
        <stp>CURVE_DATE=20150722</stp>
        <stp>headers=yes</stp>
        <stp>dir=h</stp>
        <stp>cols=17;rows=1</stp>
        <tr r="C225" s="71"/>
      </tp>
      <tp t="e">
        <v>#N/A</v>
        <stp/>
        <stp>##V3_BDSV12</stp>
        <stp>YCGT0018 index</stp>
        <stp>CURVE_MEMBERS</stp>
        <stp>[XAPI.xlsx]Yield Curves!R204C3</stp>
        <stp>CURVE_DATE=20150622</stp>
        <stp>headers=yes</stp>
        <stp>dir=h</stp>
        <stp>cols=17;rows=1</stp>
        <tr r="C204" s="71"/>
      </tp>
      <tp t="e">
        <v>#N/A</v>
        <stp/>
        <stp>##V3_BDSV12</stp>
        <stp>YCGT0018 index</stp>
        <stp>CURVE_MEMBERS</stp>
        <stp>[XAPI.xlsx]Yield Curves!R226C3</stp>
        <stp>CURVE_DATE=20150723</stp>
        <stp>headers=yes</stp>
        <stp>dir=h</stp>
        <stp>cols=17;rows=1</stp>
        <tr r="C226" s="71"/>
      </tp>
      <tp t="e">
        <v>#N/A</v>
        <stp/>
        <stp>##V3_BDSV12</stp>
        <stp>YCGT0018 index</stp>
        <stp>CURVE_MEMBERS</stp>
        <stp>[XAPI.xlsx]Yield Curves!R205C3</stp>
        <stp>CURVE_DATE=20150623</stp>
        <stp>headers=yes</stp>
        <stp>dir=h</stp>
        <stp>cols=17;rows=1</stp>
        <tr r="C205" s="71"/>
      </tp>
      <tp t="e">
        <v>#N/A</v>
        <stp/>
        <stp>##V3_BDSV12</stp>
        <stp>YCGT0018 index</stp>
        <stp>CURVE_MEMBERS</stp>
        <stp>[XAPI.xlsx]Yield Curves!R229C3</stp>
        <stp>CURVE_DATE=20150728</stp>
        <stp>headers=yes</stp>
        <stp>dir=h</stp>
        <stp>cols=17;rows=1</stp>
        <tr r="C229" s="71"/>
      </tp>
      <tp t="e">
        <v>#N/A</v>
        <stp/>
        <stp>##V3_BDSV12</stp>
        <stp>YCGT0018 index</stp>
        <stp>CURVE_MEMBERS</stp>
        <stp>[XAPI.xlsx]Yield Curves!R230C3</stp>
        <stp>CURVE_DATE=20150729</stp>
        <stp>headers=yes</stp>
        <stp>dir=h</stp>
        <stp>cols=17;rows=1</stp>
        <tr r="C230" s="71"/>
      </tp>
      <tp t="e">
        <v>#N/A</v>
        <stp/>
        <stp>##V3_BDSV12</stp>
        <stp>YCGT0018 index</stp>
        <stp>CURVE_MEMBERS</stp>
        <stp>[XAPI.xlsx]Yield Curves!R209C3</stp>
        <stp>CURVE_DATE=20150629</stp>
        <stp>headers=yes</stp>
        <stp>dir=h</stp>
        <stp>cols=17;rows=1</stp>
        <tr r="C209" s="71"/>
      </tp>
    </main>
    <main first="bofaddin.rtdserver">
      <tp t="e">
        <v>#N/A</v>
        <stp/>
        <stp>BVIEW|228623493385160745</stp>
        <tr r="O35" s="55"/>
      </tp>
    </main>
    <main first="bloomberg.rtd">
      <tp t="e">
        <v>#N/A</v>
        <stp/>
        <stp>##V3_BDSV12</stp>
        <stp>YCGT0018 index</stp>
        <stp>CURVE_MEMBERS</stp>
        <stp>[XAPI.xlsx]Yield Curves!R242C3</stp>
        <stp>CURVE_DATE=20150814</stp>
        <stp>headers=yes</stp>
        <stp>dir=h</stp>
        <stp>cols=17;rows=1</stp>
        <tr r="C242" s="71"/>
      </tp>
      <tp t="e">
        <v>#N/A</v>
        <stp/>
        <stp>##V3_BDSV12</stp>
        <stp>YCGT0018 index</stp>
        <stp>CURVE_MEMBERS</stp>
        <stp>[XAPI.xlsx]Yield Curves!R219C3</stp>
        <stp>CURVE_DATE=20150714</stp>
        <stp>headers=yes</stp>
        <stp>dir=h</stp>
        <stp>cols=17;rows=1</stp>
        <tr r="C219" s="71"/>
      </tp>
      <tp t="e">
        <v>#N/A</v>
        <stp/>
        <stp>##V3_BDSV12</stp>
        <stp>YCGT0018 index</stp>
        <stp>CURVE_MEMBERS</stp>
        <stp>[XAPI.xlsx]Yield Curves!R220C3</stp>
        <stp>CURVE_DATE=20150715</stp>
        <stp>headers=yes</stp>
        <stp>dir=h</stp>
        <stp>cols=17;rows=1</stp>
        <tr r="C220" s="71"/>
      </tp>
      <tp t="e">
        <v>#N/A</v>
        <stp/>
        <stp>##V3_BDSV12</stp>
        <stp>YCGT0018 index</stp>
        <stp>CURVE_MEMBERS</stp>
        <stp>[XAPI.xlsx]Yield Curves!R199C3</stp>
        <stp>CURVE_DATE=20150615</stp>
        <stp>headers=yes</stp>
        <stp>dir=h</stp>
        <stp>cols=17;rows=1</stp>
        <tr r="C199" s="71"/>
      </tp>
      <tp t="e">
        <v>#N/A</v>
        <stp/>
        <stp>##V3_BDSV12</stp>
        <stp>YCGT0018 index</stp>
        <stp>CURVE_MEMBERS</stp>
        <stp>[XAPI.xlsx]Yield Curves!R221C3</stp>
        <stp>CURVE_DATE=20150716</stp>
        <stp>headers=yes</stp>
        <stp>dir=h</stp>
        <stp>cols=17;rows=1</stp>
        <tr r="C221" s="71"/>
      </tp>
      <tp t="e">
        <v>#N/A</v>
        <stp/>
        <stp>##V3_BDSV12</stp>
        <stp>YCGT0018 index</stp>
        <stp>CURVE_MEMBERS</stp>
        <stp>[XAPI.xlsx]Yield Curves!R200C3</stp>
        <stp>CURVE_DATE=20150616</stp>
        <stp>headers=yes</stp>
        <stp>dir=h</stp>
        <stp>cols=17;rows=1</stp>
        <tr r="C200" s="71"/>
      </tp>
      <tp t="e">
        <v>#N/A</v>
        <stp/>
        <stp>##V3_BDSV12</stp>
        <stp>YCGT0018 index</stp>
        <stp>CURVE_MEMBERS</stp>
        <stp>[XAPI.xlsx]Yield Curves!R243C3</stp>
        <stp>CURVE_DATE=20150817</stp>
        <stp>headers=yes</stp>
        <stp>dir=h</stp>
        <stp>cols=17;rows=1</stp>
        <tr r="C243" s="71"/>
      </tp>
      <tp t="e">
        <v>#N/A</v>
        <stp/>
        <stp>##V3_BDSV12</stp>
        <stp>YCGT0018 index</stp>
        <stp>CURVE_MEMBERS</stp>
        <stp>[XAPI.xlsx]Yield Curves!R222C3</stp>
        <stp>CURVE_DATE=20150717</stp>
        <stp>headers=yes</stp>
        <stp>dir=h</stp>
        <stp>cols=17;rows=1</stp>
        <tr r="C222" s="71"/>
      </tp>
      <tp t="e">
        <v>#N/A</v>
        <stp/>
        <stp>##V3_BDSV12</stp>
        <stp>YCGT0018 index</stp>
        <stp>CURVE_MEMBERS</stp>
        <stp>[XAPI.xlsx]Yield Curves!R201C3</stp>
        <stp>CURVE_DATE=20150617</stp>
        <stp>headers=yes</stp>
        <stp>dir=h</stp>
        <stp>cols=17;rows=1</stp>
        <tr r="C201" s="71"/>
      </tp>
      <tp t="e">
        <v>#N/A</v>
        <stp/>
        <stp>##V3_BDSV12</stp>
        <stp>YCGT0018 index</stp>
        <stp>CURVE_MEMBERS</stp>
        <stp>[XAPI.xlsx]Yield Curves!R238C3</stp>
        <stp>CURVE_DATE=20150810</stp>
        <stp>headers=yes</stp>
        <stp>dir=h</stp>
        <stp>cols=17;rows=1</stp>
        <tr r="C238" s="71"/>
      </tp>
      <tp t="e">
        <v>#N/A</v>
        <stp/>
        <stp>##V3_BDSV12</stp>
        <stp>YCGT0018 index</stp>
        <stp>CURVE_MEMBERS</stp>
        <stp>[XAPI.xlsx]Yield Curves!R239C3</stp>
        <stp>CURVE_DATE=20150811</stp>
        <stp>headers=yes</stp>
        <stp>dir=h</stp>
        <stp>cols=17;rows=1</stp>
        <tr r="C239" s="71"/>
      </tp>
      <tp t="e">
        <v>#N/A</v>
        <stp/>
        <stp>##V3_BDSV12</stp>
        <stp>YCGT0018 index</stp>
        <stp>CURVE_MEMBERS</stp>
        <stp>[XAPI.xlsx]Yield Curves!R240C3</stp>
        <stp>CURVE_DATE=20150812</stp>
        <stp>headers=yes</stp>
        <stp>dir=h</stp>
        <stp>cols=17;rows=1</stp>
        <tr r="C240" s="71"/>
      </tp>
      <tp t="e">
        <v>#N/A</v>
        <stp/>
        <stp>##V3_BDSV12</stp>
        <stp>YCGT0018 index</stp>
        <stp>CURVE_MEMBERS</stp>
        <stp>[XAPI.xlsx]Yield Curves!R241C3</stp>
        <stp>CURVE_DATE=20150813</stp>
        <stp>headers=yes</stp>
        <stp>dir=h</stp>
        <stp>cols=17;rows=1</stp>
        <tr r="C241" s="71"/>
      </tp>
      <tp t="e">
        <v>#N/A</v>
        <stp/>
        <stp>##V3_BDSV12</stp>
        <stp>YCGT0018 index</stp>
        <stp>CURVE_MEMBERS</stp>
        <stp>[XAPI.xlsx]Yield Curves!R218C3</stp>
        <stp>CURVE_DATE=20150713</stp>
        <stp>headers=yes</stp>
        <stp>dir=h</stp>
        <stp>cols=17;rows=1</stp>
        <tr r="C218" s="71"/>
      </tp>
      <tp t="e">
        <v>#N/A</v>
        <stp/>
        <stp>##V3_BDSV12</stp>
        <stp>YCGT0018 index</stp>
        <stp>CURVE_MEMBERS</stp>
        <stp>[XAPI.xlsx]Yield Curves!R244C3</stp>
        <stp>CURVE_DATE=20150818</stp>
        <stp>headers=yes</stp>
        <stp>dir=h</stp>
        <stp>cols=17;rows=1</stp>
        <tr r="C244" s="71"/>
      </tp>
      <tp t="e">
        <v>#N/A</v>
        <stp/>
        <stp>##V3_BDSV12</stp>
        <stp>YCGT0018 index</stp>
        <stp>CURVE_MEMBERS</stp>
        <stp>[XAPI.xlsx]Yield Curves!R202C3</stp>
        <stp>CURVE_DATE=20150618</stp>
        <stp>headers=yes</stp>
        <stp>dir=h</stp>
        <stp>cols=17;rows=1</stp>
        <tr r="C202" s="71"/>
      </tp>
      <tp t="e">
        <v>#N/A</v>
        <stp/>
        <stp>##V3_BDSV12</stp>
        <stp>YCGT0018 index</stp>
        <stp>CURVE_MEMBERS</stp>
        <stp>[XAPI.xlsx]Yield Curves!R245C3</stp>
        <stp>CURVE_DATE=20150819</stp>
        <stp>headers=yes</stp>
        <stp>dir=h</stp>
        <stp>cols=17;rows=1</stp>
        <tr r="C245" s="71"/>
      </tp>
      <tp t="e">
        <v>#N/A</v>
        <stp/>
        <stp>##V3_BDSV12</stp>
        <stp>YCGT0018 index</stp>
        <stp>CURVE_MEMBERS</stp>
        <stp>[XAPI.xlsx]Yield Curves!R203C3</stp>
        <stp>CURVE_DATE=20150619</stp>
        <stp>headers=yes</stp>
        <stp>dir=h</stp>
        <stp>cols=17;rows=1</stp>
        <tr r="C203" s="71"/>
      </tp>
      <tp t="e">
        <v>#N/A</v>
        <stp/>
        <stp>##V3_BCURVESTRIPV12</stp>
        <stp>[XAPI.xlsx]=BCURVE =BCURVESTRIP =BVIEW!R31C7</stp>
        <stp>S201</stp>
        <tr r="G31" s="55"/>
      </tp>
      <tp t="e">
        <v>#N/A</v>
        <stp/>
        <stp>##V3_BDSV12</stp>
        <stp>YCGT0018 index</stp>
        <stp>CURVE_MEMBERS</stp>
        <stp>[XAPI.xlsx]Yield Curves!R234C3</stp>
        <stp>CURVE_DATE=20150804</stp>
        <stp>headers=yes</stp>
        <stp>dir=h</stp>
        <stp>cols=17;rows=1</stp>
        <tr r="C234" s="71"/>
      </tp>
      <tp t="e">
        <v>#N/A</v>
        <stp/>
        <stp>##V3_BDSV12</stp>
        <stp>YCGT0018 index</stp>
        <stp>CURVE_MEMBERS</stp>
        <stp>[XAPI.xlsx]Yield Curves!R235C3</stp>
        <stp>CURVE_DATE=20150805</stp>
        <stp>headers=yes</stp>
        <stp>dir=h</stp>
        <stp>cols=17;rows=1</stp>
        <tr r="C235" s="71"/>
      </tp>
      <tp t="e">
        <v>#N/A</v>
        <stp/>
        <stp>##V3_BDSV12</stp>
        <stp>YCGT0018 index</stp>
        <stp>CURVE_MEMBERS</stp>
        <stp>[XAPI.xlsx]Yield Curves!R236C3</stp>
        <stp>CURVE_DATE=20150806</stp>
        <stp>headers=yes</stp>
        <stp>dir=h</stp>
        <stp>cols=17;rows=1</stp>
        <tr r="C236" s="71"/>
      </tp>
      <tp t="e">
        <v>#N/A</v>
        <stp/>
        <stp>##V3_BDSV12</stp>
        <stp>YCGT0018 index</stp>
        <stp>CURVE_MEMBERS</stp>
        <stp>[XAPI.xlsx]Yield Curves!R214C3</stp>
        <stp>CURVE_DATE=20150706</stp>
        <stp>headers=yes</stp>
        <stp>dir=h</stp>
        <stp>cols=17;rows=1</stp>
        <tr r="C214" s="71"/>
      </tp>
      <tp t="e">
        <v>#N/A</v>
        <stp/>
        <stp>##V3_BDSV12</stp>
        <stp>YCGT0018 index</stp>
        <stp>CURVE_MEMBERS</stp>
        <stp>[XAPI.xlsx]Yield Curves!R237C3</stp>
        <stp>CURVE_DATE=20150807</stp>
        <stp>headers=yes</stp>
        <stp>dir=h</stp>
        <stp>cols=17;rows=1</stp>
        <tr r="C237" s="71"/>
      </tp>
      <tp t="e">
        <v>#N/A</v>
        <stp/>
        <stp>##V3_BDSV12</stp>
        <stp>YCGT0018 index</stp>
        <stp>CURVE_MEMBERS</stp>
        <stp>[XAPI.xlsx]Yield Curves!R215C3</stp>
        <stp>CURVE_DATE=20150707</stp>
        <stp>headers=yes</stp>
        <stp>dir=h</stp>
        <stp>cols=17;rows=1</stp>
        <tr r="C215" s="71"/>
      </tp>
      <tp t="e">
        <v>#N/A</v>
        <stp/>
        <stp>##V3_BDSV12</stp>
        <stp>YCGT0018 index</stp>
        <stp>CURVE_MEMBERS</stp>
        <stp>[XAPI.xlsx]Yield Curves!R211C3</stp>
        <stp>CURVE_DATE=20150701</stp>
        <stp>headers=yes</stp>
        <stp>dir=h</stp>
        <stp>cols=17;rows=1</stp>
        <tr r="C211" s="71"/>
      </tp>
      <tp t="e">
        <v>#N/A</v>
        <stp/>
        <stp>##V3_BDSV12</stp>
        <stp>YCGT0018 index</stp>
        <stp>CURVE_MEMBERS</stp>
        <stp>[XAPI.xlsx]Yield Curves!R212C3</stp>
        <stp>CURVE_DATE=20150702</stp>
        <stp>headers=yes</stp>
        <stp>dir=h</stp>
        <stp>cols=17;rows=1</stp>
        <tr r="C212" s="71"/>
      </tp>
      <tp t="e">
        <v>#N/A</v>
        <stp/>
        <stp>##V3_BDSV12</stp>
        <stp>YCGT0018 index</stp>
        <stp>CURVE_MEMBERS</stp>
        <stp>[XAPI.xlsx]Yield Curves!R233C3</stp>
        <stp>CURVE_DATE=20150803</stp>
        <stp>headers=yes</stp>
        <stp>dir=h</stp>
        <stp>cols=17;rows=1</stp>
        <tr r="C233" s="71"/>
      </tp>
      <tp t="e">
        <v>#N/A</v>
        <stp/>
        <stp>##V3_BDSV12</stp>
        <stp>YCGT0018 index</stp>
        <stp>CURVE_MEMBERS</stp>
        <stp>[XAPI.xlsx]Yield Curves!R213C3</stp>
        <stp>CURVE_DATE=20150703</stp>
        <stp>headers=yes</stp>
        <stp>dir=h</stp>
        <stp>cols=17;rows=1</stp>
        <tr r="C213" s="71"/>
      </tp>
      <tp t="e">
        <v>#N/A</v>
        <stp/>
        <stp>##V3_BDSV12</stp>
        <stp>YCGT0018 index</stp>
        <stp>CURVE_MEMBERS</stp>
        <stp>[XAPI.xlsx]Yield Curves!R216C3</stp>
        <stp>CURVE_DATE=20150708</stp>
        <stp>headers=yes</stp>
        <stp>dir=h</stp>
        <stp>cols=17;rows=1</stp>
        <tr r="C216" s="71"/>
      </tp>
      <tp t="e">
        <v>#N/A</v>
        <stp/>
        <stp>##V3_BDSV12</stp>
        <stp>YCGT0018 index</stp>
        <stp>CURVE_MEMBERS</stp>
        <stp>[XAPI.xlsx]Yield Curves!R217C3</stp>
        <stp>CURVE_DATE=20150709</stp>
        <stp>headers=yes</stp>
        <stp>dir=h</stp>
        <stp>cols=17;rows=1</stp>
        <tr r="C217" s="71"/>
      </tp>
    </main>
    <main first="bloomberg.rtd">
      <tp t="e">
        <v>#N/A</v>
        <stp/>
        <stp>##V3_BCURVESTRIPV12</stp>
        <stp>[XAPI.xlsx]Spreads to curves!R62C17</stp>
        <stp>S201</stp>
        <tr r="Q62" s="57"/>
      </tp>
      <tp t="e">
        <v>#N/A</v>
        <stp/>
        <stp>##V3_BCURVESTRIPV12</stp>
        <stp>[XAPI.xlsx]Spreads to curves!R62C14</stp>
        <stp>S201</stp>
        <tr r="N62" s="57"/>
      </tp>
      <tp t="e">
        <v>#N/A</v>
        <stp/>
        <stp>##V3_BCURVEINTV12</stp>
        <stp>[XAPI.xlsx]Spreads to curves!R51C13</stp>
        <stp>EUR.3M:BLOOMBERG DC 922056</stp>
        <stp>Maturity</stp>
        <stp>3m</stp>
        <tr r="M51" s="57"/>
      </tp>
      <tp t="e">
        <v>#N/A</v>
        <stp/>
        <stp>##V3_BCURVEINTV12</stp>
        <stp>[XAPI.xlsx]Spreads to curves!R52C14</stp>
        <stp>EUR.3M:BLOOMBERG DC 922056</stp>
        <stp>Zc.Ask</stp>
        <stp>23 bd</stp>
        <tr r="N52" s="57"/>
      </tp>
    </main>
    <main first="bloomberg.rtd">
      <tp t="e">
        <v>#N/A</v>
        <stp/>
        <stp>##V3_BDSV12</stp>
        <stp>YCGT0018 index</stp>
        <stp>CURVE_TENOR_RATES</stp>
        <stp>[XAPI.xlsx]Yield Curves!R117C2</stp>
        <stp>cols=6;rows=16</stp>
        <tr r="B117" s="71"/>
      </tp>
      <tp t="e">
        <v>#N/A</v>
        <stp/>
        <stp>##V3_BSRCHV12</stp>
        <stp>FI:Hungarian Govt Bonds</stp>
        <stp>[XAPI.xlsx]=BSRCH!R12C2</stp>
        <tr r="B12" s="65"/>
      </tp>
    </main>
    <main first="bloomberg.rtd">
      <tp t="e">
        <v>#N/A</v>
        <stp/>
        <stp>##V3_BCURVEINTV12</stp>
        <stp>[XAPI.xlsx]Spreads to curves!R53C13</stp>
        <stp>EUR.3M:BLOOMBERG DC 922056</stp>
        <stp>Maturity</stp>
        <stp>4y</stp>
        <tr r="M53" s="57"/>
      </tp>
      <tp t="e">
        <v>#N/A</v>
        <stp/>
        <stp>##V3_BDSV12</stp>
        <stp>YCGT0018 index</stp>
        <stp>CURVE_TENOR_RATES</stp>
        <stp>[XAPI.xlsx]Yield Curves!R143C2</stp>
        <stp>CURVE_DATE=20160220</stp>
        <stp>cols=6;rows=16</stp>
        <tr r="B143" s="71"/>
      </tp>
    </main>
    <main first="bloomberg.rtd">
      <tp t="e">
        <v>#N/A</v>
        <stp/>
        <stp>##V3_BDSV12</stp>
        <stp>AAPL US Equity</stp>
        <stp>top 20 holders public filings</stp>
        <stp>[XAPI.xlsx]=BDS!R109C5</stp>
        <stp>top holders inst type override</stp>
        <stp>insurance company</stp>
        <stp>cols=10;rows=20</stp>
        <tr r="E109" s="39"/>
      </tp>
    </main>
    <main first="bloomberg.rtd">
      <tp t="e">
        <v>#N/A</v>
        <stp/>
        <stp>##V3_BDHV12</stp>
        <stp>dte gr equity</stp>
        <stp>short and long term debt</stp>
        <stp>1/1/2015</stp>
        <stp>1/1/2016</stp>
        <stp>[XAPI.xlsx]=BDH!R123C8</stp>
        <stp>cols=2;rows=4</stp>
        <tr r="H123" s="41"/>
      </tp>
    </main>
    <main first="bloomberg.rtd">
      <tp t="e">
        <v>#N/A</v>
        <stp/>
        <stp>##V3_BDSV12</stp>
        <stp>seb 2 21 corp</stp>
        <stp>des cash flow</stp>
        <stp>[XAPI.xlsx]=BDS!R11C3</stp>
        <stp>cols=3;rows=3</stp>
        <tr r="C11" s="39"/>
      </tp>
    </main>
    <main first="bloomberg.rtd">
      <tp t="e">
        <v>#N/A</v>
        <stp/>
        <stp>##V3_BCURVEINTV12</stp>
        <stp>[XAPI.xlsx]Spreads to curves!R52C15</stp>
        <stp>EUR.3M:BLOOMBERG DC 922056</stp>
        <stp>Df.Ask</stp>
        <stp>23 bd</stp>
        <tr r="O52" s="57"/>
      </tp>
      <tp t="e">
        <v>#N/A</v>
        <stp/>
        <stp>##V3_BDHV12</stp>
        <stp>dbk gr equity</stp>
        <stp>short and long term debt</stp>
        <stp>1/1/2015</stp>
        <stp>1/1/2016</stp>
        <stp>[XAPI.xlsx]=BDH!R123C5</stp>
        <stp>cols=2;rows=4</stp>
        <tr r="E123" s="41"/>
      </tp>
    </main>
    <main first="bloomberg.rtd">
      <tp t="e">
        <v>#N/A</v>
        <stp/>
        <stp>##V3_BDPV12</stp>
        <stp/>
        <stp>Yld cnv bid</stp>
        <stp>[XAPI.xlsx]=BSRCH!R19C6</stp>
        <tr r="F19" s="65"/>
      </tp>
      <tp t="e">
        <v>#N/A</v>
        <stp/>
        <stp>##V3_BDPV12</stp>
        <stp/>
        <stp>Yld cnv bid</stp>
        <stp>[XAPI.xlsx]=BSRCH!R29C6</stp>
        <tr r="F29" s="65"/>
      </tp>
      <tp t="e">
        <v>#N/A</v>
        <stp/>
        <stp>##V3_BDPV12</stp>
        <stp/>
        <stp>Yld cnv bid</stp>
        <stp>[XAPI.xlsx]=BSRCH!R39C6</stp>
        <tr r="F39" s="65"/>
      </tp>
    </main>
    <main first="bloomberg.rtd">
      <tp t="e">
        <v>#N/A</v>
        <stp/>
        <stp>##V3_BDHV12</stp>
        <stp>TRYG DC Equity</stp>
        <stp>px last</stp>
        <stp>5/13/2014</stp>
        <stp>5/23/2014</stp>
        <stp>[XAPI.xlsx]=BDH!R94C3</stp>
        <stp>days=w, fill=c, sort=d</stp>
        <stp>cols=2;rows=9</stp>
        <tr r="C94" s="41"/>
      </tp>
      <tp t="e">
        <v>#N/A</v>
        <stp/>
        <stp>##V3_BDPV12</stp>
        <stp/>
        <stp>Yld cnv bid</stp>
        <stp>[XAPI.xlsx]=BSRCH!R18C6</stp>
        <tr r="F18" s="65"/>
      </tp>
      <tp t="e">
        <v>#N/A</v>
        <stp/>
        <stp>##V3_BDPV12</stp>
        <stp/>
        <stp>Yld cnv bid</stp>
        <stp>[XAPI.xlsx]=BSRCH!R28C6</stp>
        <tr r="F28" s="65"/>
      </tp>
    </main>
    <main first="bloomberg.rtd">
      <tp t="e">
        <v>#N/A</v>
        <stp/>
        <stp>##V3_BDPV12</stp>
        <stp/>
        <stp>Yld cnv bid</stp>
        <stp>[XAPI.xlsx]=BSRCH!R17C6</stp>
        <tr r="F17" s="65"/>
      </tp>
      <tp t="e">
        <v>#N/A</v>
        <stp/>
        <stp>##V3_BDPV12</stp>
        <stp/>
        <stp>Yld cnv bid</stp>
        <stp>[XAPI.xlsx]=BSRCH!R27C6</stp>
        <tr r="F27" s="65"/>
      </tp>
    </main>
    <main first="bloomberg.rtd">
      <tp t="e">
        <v>#N/A</v>
        <stp/>
        <stp>##V3_BDPV12</stp>
        <stp/>
        <stp>Yld cnv bid</stp>
        <stp>[XAPI.xlsx]=BSRCH!R16C6</stp>
        <tr r="F16" s="65"/>
      </tp>
      <tp t="e">
        <v>#N/A</v>
        <stp/>
        <stp>##V3_BDPV12</stp>
        <stp/>
        <stp>Yld cnv bid</stp>
        <stp>[XAPI.xlsx]=BSRCH!R26C6</stp>
        <tr r="F26" s="65"/>
      </tp>
      <tp t="e">
        <v>#N/A</v>
        <stp/>
        <stp>##V3_BCURVESTRIPV12</stp>
        <stp>[XAPI.xlsx]=BCURVE =BCURVESTRIP =BVIEW!R31C11</stp>
        <stp>S45</stp>
        <stp>CurveDate=42287</stp>
        <tr r="K31" s="55"/>
      </tp>
      <tp t="e">
        <v>#N/A</v>
        <stp/>
        <stp>##V3_BDPV12</stp>
        <stp/>
        <stp>Yld cnv bid</stp>
        <stp>[XAPI.xlsx]=BSRCH!R15C6</stp>
        <tr r="F15" s="65"/>
      </tp>
      <tp t="e">
        <v>#N/A</v>
        <stp/>
        <stp>##V3_BDPV12</stp>
        <stp/>
        <stp>Yld cnv bid</stp>
        <stp>[XAPI.xlsx]=BSRCH!R25C6</stp>
        <tr r="F25" s="65"/>
      </tp>
      <tp t="e">
        <v>#N/A</v>
        <stp/>
        <stp>##V3_BDHV12</stp>
        <stp>dbk gr equity</stp>
        <stp>px last</stp>
        <stp>5/10/2015</stp>
        <stp>2/5/2016</stp>
        <stp>[XAPI.xlsx]=BDH!R137C2</stp>
        <stp>per=am</stp>
        <stp>cols=2;rows=9</stp>
        <tr r="B137" s="41"/>
      </tp>
    </main>
    <main first="bloomberg.rtd">
      <tp t="e">
        <v>#N/A</v>
        <stp/>
        <stp>##V3_BCURVESTRIPV12</stp>
        <stp>[XAPI.xlsx]=BCURVEFWD!R22C2</stp>
        <stp>S201</stp>
        <stp>curvedate=42879</stp>
        <tr r="B22" s="56"/>
      </tp>
      <tp t="e">
        <v>#N/A</v>
        <stp/>
        <stp>##V3_BDPV12</stp>
        <stp/>
        <stp>Yld cnv bid</stp>
        <stp>[XAPI.xlsx]=BSRCH!R14C6</stp>
        <tr r="F14" s="65"/>
      </tp>
      <tp t="e">
        <v>#N/A</v>
        <stp/>
        <stp>##V3_BDPV12</stp>
        <stp/>
        <stp>Yld cnv bid</stp>
        <stp>[XAPI.xlsx]=BSRCH!R24C6</stp>
        <tr r="F24" s="65"/>
      </tp>
    </main>
    <main first="bloomberg.rtd">
      <tp t="e">
        <v>#N/A</v>
        <stp/>
        <stp>##V3_BDPV12</stp>
        <stp/>
        <stp>Yld cnv bid</stp>
        <stp>[XAPI.xlsx]=BSRCH!R13C6</stp>
        <tr r="F13" s="65"/>
      </tp>
      <tp t="e">
        <v>#N/A</v>
        <stp/>
        <stp>##V3_BDPV12</stp>
        <stp/>
        <stp>Yld cnv bid</stp>
        <stp>[XAPI.xlsx]=BSRCH!R23C6</stp>
        <tr r="F23" s="65"/>
      </tp>
      <tp t="e">
        <v>#N/A</v>
        <stp/>
        <stp>##V3_BDHV12</stp>
        <stp>TRYG DC Equity</stp>
        <stp>px last</stp>
        <stp>5/13/2014</stp>
        <stp>5/23/2014</stp>
        <stp>[XAPI.xlsx]=BDH!R80C3</stp>
        <stp>days=w, fill=c</stp>
        <stp>cols=2;rows=9</stp>
        <tr r="C80" s="41"/>
      </tp>
    </main>
    <main first="bloomberg.rtd">
      <tp t="e">
        <v>#N/A</v>
        <stp/>
        <stp>##V3_BDPV12</stp>
        <stp/>
        <stp>Yld cnv bid</stp>
        <stp>[XAPI.xlsx]=BSRCH!R22C6</stp>
        <tr r="F22" s="65"/>
      </tp>
      <tp t="e">
        <v>#N/A</v>
        <stp/>
        <stp>##V3_BCURVEINTV12</stp>
        <stp>[XAPI.xlsx]Spreads to curves!R54C15</stp>
        <stp>EUR.3M:BLOOMBERG DC 922056</stp>
        <stp>Df.Ask</stp>
        <stp>20180210</stp>
        <tr r="O54" s="57"/>
      </tp>
    </main>
    <main first="bloomberg.rtd">
      <tp t="e">
        <v>#N/A</v>
        <stp/>
        <stp>##V3_BDPV12</stp>
        <stp/>
        <stp>Yld cnv bid</stp>
        <stp>[XAPI.xlsx]=BSRCH!R21C6</stp>
        <tr r="F21" s="65"/>
      </tp>
      <tp t="e">
        <v>#N/A</v>
        <stp/>
        <stp>##V3_BDPV12</stp>
        <stp/>
        <stp>Yld cnv bid</stp>
        <stp>[XAPI.xlsx]=BSRCH!R31C6</stp>
        <tr r="F31" s="65"/>
      </tp>
      <tp t="e">
        <v>#N/A</v>
        <stp/>
        <stp>##V3_BCURVEINTV12</stp>
        <stp>[XAPI.xlsx]Spreads to curves!R55C15</stp>
        <stp>EUR.3M:BLOOMBERG DC 922056</stp>
        <stp>Df.Ask</stp>
        <stp>20161030</stp>
        <tr r="O55" s="57"/>
      </tp>
    </main>
    <main first="bloomberg.rtd">
      <tp t="e">
        <v>#N/A</v>
        <stp/>
        <stp>##V3_BDPV12</stp>
        <stp/>
        <stp>Yld cnv bid</stp>
        <stp>[XAPI.xlsx]=BSRCH!R20C6</stp>
        <tr r="F20" s="65"/>
      </tp>
      <tp t="e">
        <v>#N/A</v>
        <stp/>
        <stp>##V3_BDPV12</stp>
        <stp/>
        <stp>Yld cnv bid</stp>
        <stp>[XAPI.xlsx]=BSRCH!R30C6</stp>
        <tr r="F30" s="65"/>
      </tp>
      <tp t="e">
        <v>#N/A</v>
        <stp/>
        <stp>##V3_BDSV12</stp>
        <stp>SIE GR Equity</stp>
        <stp>SUPPLY_CHAIN_SUPPLIERS_ALL_DATA</stp>
        <stp>[XAPI.xlsx]Supply Chain!R6C4</stp>
        <stp>cols=12;rows=5</stp>
        <tr r="D6" s="78"/>
      </tp>
      <tp t="e">
        <v>#N/A</v>
        <stp/>
        <stp>##V3_BDSV12</stp>
        <stp>U8328-3 client</stp>
        <stp>Portfolio data</stp>
        <stp>[XAPI.xlsx]=BDS!R58C7</stp>
        <tr r="G58" s="39"/>
      </tp>
    </main>
    <main first="bofaddin.rtdserver">
      <tp t="e">
        <v>#N/A</v>
        <stp/>
        <stp>BVIEW|13040610676293748076</stp>
        <tr r="V55" s="55"/>
      </tp>
    </main>
    <main first="bloomberg.rtd">
      <tp t="e">
        <v>#N/A</v>
        <stp/>
        <stp>##V3_BDHV12</stp>
        <stp>NKY Index</stp>
        <stp>px open</stp>
        <stp>5/1/2011</stp>
        <stp>5/31/2011</stp>
        <stp>[XAPI.xlsx]=BDH!R228C2</stp>
        <stp>CDR_x0002__x0003_fill</stp>
        <stp>5D_x0002__x0003_b</stp>
        <stp>cols=2;rows=22</stp>
        <tr r="B228" s="41"/>
      </tp>
    </main>
    <main first="bloomberg.rtd">
      <tp t="e">
        <v>#N/A</v>
        <stp/>
        <stp>##V3_BDSV12</stp>
        <stp>GT10 govt</stp>
        <stp>bond yield forecast</stp>
        <stp>[XAPI.xlsx]=BDS!R22C3</stp>
        <stp>cols=11;rows=6</stp>
        <tr r="C22" s="39"/>
      </tp>
      <tp t="e">
        <v>#N/A</v>
        <stp/>
        <stp>##V3_BDSV12</stp>
        <stp>DGB corp</stp>
        <stp>bond chain</stp>
        <stp>[XAPI.xlsx]=BDS!R140C6</stp>
        <stp>cols=2;rows=11</stp>
        <tr r="F140" s="39"/>
      </tp>
    </main>
    <main first="bofaddin.rtdserver">
      <tp t="e">
        <v>#N/A</v>
        <stp/>
        <stp>BVIEW|15799223700263824371</stp>
        <tr r="H33" s="72"/>
      </tp>
      <tp t="e">
        <v>#N/A</v>
        <stp/>
        <stp>BVIEW|13279034739061536686</stp>
        <tr r="G36" s="55"/>
      </tp>
    </main>
    <main first="bloomberg.rtd">
      <tp t="e">
        <v>#N/A</v>
        <stp/>
        <stp>##V3_BDPV12</stp>
        <stp/>
        <stp>PX Bid</stp>
        <stp>[XAPI.xlsx]Error Substitution!R46C3</stp>
        <tr r="C46" s="35"/>
      </tp>
      <tp t="e">
        <v>#N/A</v>
        <stp/>
        <stp>##V3_BCURVESTRIPV12</stp>
        <stp>[XAPI.xlsx]=BCURVE =BCURVESTRIP =BVIEW!R51C22</stp>
        <stp>EUR.6M</stp>
        <stp>refire=false</stp>
        <tr r="V51" s="55"/>
      </tp>
      <tp t="e">
        <v>#N/A</v>
        <stp/>
        <stp>##V3_BDSV12</stp>
        <stp>seb 2 21 corp</stp>
        <stp>des cash flow</stp>
        <stp>[XAPI.xlsx]=BDS!R11C10</stp>
        <stp>startcol=1</stp>
        <stp>endcol=2</stp>
        <stp>cols=2;rows=4</stp>
        <tr r="J11" s="39"/>
      </tp>
      <tp t="e">
        <v>#N/A</v>
        <stp/>
        <stp>##V3_BDPV12</stp>
        <stp/>
        <stp>Yld cnv bid</stp>
        <stp>[XAPI.xlsx]Error Substitution!R46C4</stp>
        <tr r="D46" s="35"/>
      </tp>
    </main>
    <main first="bofaddin.rtdserver">
      <tp t="e">
        <v>#N/A</v>
        <stp/>
        <stp>BVIEW|12895731503446654824</stp>
        <tr r="E14" s="57"/>
      </tp>
    </main>
    <main first="bloomberg.rtd">
      <tp t="e">
        <v>#N/A</v>
        <stp/>
        <stp>##V3_BDHV12</stp>
        <stp>sie gr equity</stp>
        <stp>last price</stp>
        <stp>4/4/2016 10:00:00 AM</stp>
        <stp>4/4/2016 10:50:00 AM</stp>
        <stp>[XAPI.xlsx]=BDH!R157C2</stp>
        <stp>BarSz=10</stp>
        <stp>BarTp=T</stp>
        <tr r="B157" s="41"/>
      </tp>
      <tp t="e">
        <v>#N/A</v>
        <stp/>
        <stp>##V3_BDHV12</stp>
        <stp>vod 5 18 corp@cbbt corp</stp>
        <stp>last price</stp>
        <stp>4/4/2016 12:00:00 PM</stp>
        <stp>4/4/2016 12:25:00 PM</stp>
        <stp>[XAPI.xlsx]=BDH!R175C2</stp>
        <stp>BarSz</stp>
        <stp>5</stp>
        <stp>BarTp</stp>
        <stp>b</stp>
        <tr r="B175" s="41"/>
      </tp>
      <tp t="e">
        <v>#N/A</v>
        <stp/>
        <stp>##V3_BDSV12</stp>
        <stp>YCGT0016 Index</stp>
        <stp xml:space="preserve"> curve terms</stp>
        <stp>[XAPI.xlsx]Yield Curves!R55C2</stp>
        <stp>cols=1;rows=17</stp>
        <tr r="B55" s="71"/>
      </tp>
    </main>
    <main first="bloomberg.ccyreader">
      <tp t="e">
        <v>#N/A</v>
        <stp/>
        <stp>#track</stp>
        <stp>DBG</stp>
        <stp>XAPI</stp>
        <stp>2.1.0.0</stp>
        <stp>OpenFile</stp>
        <tr r="C3" s="51"/>
      </tp>
    </main>
    <main first="bloomberg.rtd">
      <tp t="e">
        <v>#N/A</v>
        <stp/>
        <stp>##V3_BCURVESTRIPV12</stp>
        <stp>[XAPI.xlsx]Spreads to curves!R10C2</stp>
        <stp>S201</stp>
        <tr r="B10" s="57"/>
      </tp>
      <tp t="e">
        <v>#N/A</v>
        <stp/>
        <stp>##V3_BDPV12</stp>
        <stp/>
        <stp>PX bid</stp>
        <stp>[XAPI.xlsx]=BSRCH!R31C5</stp>
        <tr r="E31" s="65"/>
      </tp>
      <tp t="e">
        <v>#N/A</v>
        <stp/>
        <stp>##V3_BDPV12</stp>
        <stp/>
        <stp>PX bid</stp>
        <stp>[XAPI.xlsx]=BSRCH!R21C5</stp>
        <tr r="E21" s="65"/>
      </tp>
      <tp t="e">
        <v>#N/A</v>
        <stp/>
        <stp>##V3_BDPV12</stp>
        <stp/>
        <stp>PX bid</stp>
        <stp>[XAPI.xlsx]=BSRCH!R30C5</stp>
        <tr r="E30" s="65"/>
      </tp>
      <tp t="e">
        <v>#N/A</v>
        <stp/>
        <stp>##V3_BDPV12</stp>
        <stp/>
        <stp>PX bid</stp>
        <stp>[XAPI.xlsx]=BSRCH!R20C5</stp>
        <tr r="E20" s="65"/>
      </tp>
      <tp t="e">
        <v>#N/A</v>
        <stp/>
        <stp>##V3_BDHV12</stp>
        <stp>KOSPI2 Index</stp>
        <stp>px open</stp>
        <stp>5/1/2011</stp>
        <stp>5/31/2011</stp>
        <stp>[XAPI.xlsx]=BDH!R228C4</stp>
        <stp>CDR_x0002__x0003_fill</stp>
        <stp>5D_x0002__x0003_b</stp>
        <stp>DATES=H</stp>
        <stp>cols=1;rows=22</stp>
        <tr r="D228" s="41"/>
      </tp>
      <tp t="e">
        <v>#N/A</v>
        <stp/>
        <stp>##V3_BDPV12</stp>
        <stp/>
        <stp>PX bid</stp>
        <stp>[XAPI.xlsx]=BSRCH!R13C5</stp>
        <tr r="E13" s="65"/>
      </tp>
      <tp t="e">
        <v>#N/A</v>
        <stp/>
        <stp>##V3_BDPV12</stp>
        <stp/>
        <stp>PX bid</stp>
        <stp>[XAPI.xlsx]=BSRCH!R23C5</stp>
        <tr r="E23" s="65"/>
      </tp>
    </main>
    <main first="bofaddin.rtdserver">
      <tp t="e">
        <v>#N/A</v>
        <stp/>
        <stp>BVIEW|7818265137917159356</stp>
        <tr r="K36" s="55"/>
      </tp>
    </main>
    <main first="bloomberg.rtd">
      <tp t="e">
        <v>#N/A</v>
        <stp/>
        <stp>##V3_BDSV12</stp>
        <stp>VOD/ corp</stp>
        <stp>cds curve info</stp>
        <stp>[XAPI.xlsx]=BDS!R35C2</stp>
        <stp>startcol=1</stp>
        <stp>endcol=6</stp>
        <stp>cols=6;rows=8</stp>
        <tr r="B35" s="39"/>
      </tp>
      <tp t="e">
        <v>#N/A</v>
        <stp/>
        <stp>##V3_BDSV12</stp>
        <stp>VOD LN Equity</stp>
        <stp>calendar holidays</stp>
        <stp>[XAPI.xlsx]=BDS!R88C3</stp>
        <stp>Calendar start date_x0002__x0003_Calendar end date_x0002__x0003_Settlement calendar code</stp>
        <stp>20080101_x0002__x0003_20090630_x0002__x0003_EN</stp>
        <stp>cols=1;rows=13</stp>
        <tr r="C88" s="39"/>
      </tp>
      <tp t="e">
        <v>#N/A</v>
        <stp/>
        <stp>##V3_BDPV12</stp>
        <stp/>
        <stp>PX bid</stp>
        <stp>[XAPI.xlsx]=BSRCH!R22C5</stp>
        <tr r="E22" s="65"/>
      </tp>
    </main>
    <main first="bofaddin.rtdserver">
      <tp t="e">
        <v>#N/A</v>
        <stp/>
        <stp>BVIEW|4906072064814234511</stp>
        <tr r="K39" s="72"/>
      </tp>
    </main>
    <main first="bloomberg.rtd">
      <tp t="e">
        <v>#N/A</v>
        <stp/>
        <stp>##V3_BDPV12</stp>
        <stp/>
        <stp>PX bid</stp>
        <stp>[XAPI.xlsx]=BSRCH!R15C5</stp>
        <tr r="E15" s="65"/>
      </tp>
      <tp t="e">
        <v>#N/A</v>
        <stp/>
        <stp>##V3_BDPV12</stp>
        <stp/>
        <stp>PX bid</stp>
        <stp>[XAPI.xlsx]=BSRCH!R25C5</stp>
        <tr r="E25" s="65"/>
      </tp>
      <tp t="e">
        <v>#N/A</v>
        <stp/>
        <stp>##V3_BDPV12</stp>
        <stp/>
        <stp>PX bid</stp>
        <stp>[XAPI.xlsx]=BSRCH!R14C5</stp>
        <tr r="E14" s="65"/>
      </tp>
      <tp t="e">
        <v>#N/A</v>
        <stp/>
        <stp>##V3_BDPV12</stp>
        <stp/>
        <stp>PX bid</stp>
        <stp>[XAPI.xlsx]=BSRCH!R24C5</stp>
        <tr r="E24" s="65"/>
      </tp>
      <tp t="e">
        <v>#N/A</v>
        <stp/>
        <stp>##V3_BDPV12</stp>
        <stp/>
        <stp>PX bid</stp>
        <stp>[XAPI.xlsx]=BSRCH!R17C5</stp>
        <tr r="E17" s="65"/>
      </tp>
      <tp t="e">
        <v>#N/A</v>
        <stp/>
        <stp>##V3_BDPV12</stp>
        <stp/>
        <stp>PX bid</stp>
        <stp>[XAPI.xlsx]=BSRCH!R27C5</stp>
        <tr r="E27" s="65"/>
      </tp>
    </main>
    <main first="bofaddin.rtdserver">
      <tp t="e">
        <v>#N/A</v>
        <stp/>
        <stp>BVIEW|9970024941378382321</stp>
        <tr r="P30" s="55"/>
      </tp>
    </main>
    <main first="bloomberg.rtd">
      <tp t="e">
        <v>#N/A</v>
        <stp/>
        <stp>##V3_BDPV12</stp>
        <stp/>
        <stp>PX bid</stp>
        <stp>[XAPI.xlsx]=BSRCH!R16C5</stp>
        <tr r="E16" s="65"/>
      </tp>
      <tp t="e">
        <v>#N/A</v>
        <stp/>
        <stp>##V3_BDPV12</stp>
        <stp/>
        <stp>PX bid</stp>
        <stp>[XAPI.xlsx]=BSRCH!R26C5</stp>
        <tr r="E26" s="65"/>
      </tp>
    </main>
    <main first="bofaddin.rtdserver">
      <tp t="e">
        <v>#N/A</v>
        <stp/>
        <stp>BVIEW|7932193719217123788</stp>
        <tr r="H30" s="55"/>
      </tp>
    </main>
    <main first="bloomberg.rtd">
      <tp t="e">
        <v>#N/A</v>
        <stp/>
        <stp>##V3_BDPV12</stp>
        <stp/>
        <stp>PX bid</stp>
        <stp>[XAPI.xlsx]=BSRCH!R19C5</stp>
        <tr r="E19" s="65"/>
      </tp>
      <tp t="e">
        <v>#N/A</v>
        <stp/>
        <stp>##V3_BDPV12</stp>
        <stp/>
        <stp>PX bid</stp>
        <stp>[XAPI.xlsx]=BSRCH!R39C5</stp>
        <tr r="E39" s="65"/>
      </tp>
      <tp t="e">
        <v>#N/A</v>
        <stp/>
        <stp>##V3_BDPV12</stp>
        <stp/>
        <stp>PX bid</stp>
        <stp>[XAPI.xlsx]=BSRCH!R29C5</stp>
        <tr r="E29" s="65"/>
      </tp>
      <tp t="e">
        <v>#N/A</v>
        <stp/>
        <stp>##V3_BCURVEINTV12</stp>
        <stp>[XAPI.xlsx]Spreads to curves!R63C17</stp>
        <stp>EUR.3M:BLOOMBERG DC 359428</stp>
        <stp>Par.ask</stp>
        <stp>1mo_x0002__x0003_3mo_x0002__x0003_12mo_x0002__x0003_2 YR_x0002__x0003_5 YR_x0002__x0003_10 YR</stp>
        <stp>Frequency</stp>
        <stp>annual_x0002__x0003_annual_x0002__x0003_annual_x0002__x0003_annual_x0002__x0003_annual_x0002__x0003_annual</stp>
        <stp>Daycount</stp>
        <stp>act_360_eomc_x0002__x0003_act_360_eomc_x0002__x0003_act_360_eomc_x0002__x0003_act_360_eomc_x0002__x0003_act_360_eomc_x0002__x0003_act_360_eomc</stp>
        <tr r="Q63" s="57"/>
      </tp>
      <tp t="e">
        <v>#N/A</v>
        <stp/>
        <stp>##V3_BDPV12</stp>
        <stp/>
        <stp>PX bid</stp>
        <stp>[XAPI.xlsx]=BSRCH!R18C5</stp>
        <tr r="E18" s="65"/>
      </tp>
      <tp t="e">
        <v>#N/A</v>
        <stp/>
        <stp>##V3_BDPV12</stp>
        <stp/>
        <stp>PX bid</stp>
        <stp>[XAPI.xlsx]=BSRCH!R28C5</stp>
        <tr r="E28" s="65"/>
      </tp>
    </main>
    <main first="bofaddin.rtdserver">
      <tp t="e">
        <v>#N/A</v>
        <stp/>
        <stp>BVIEW|7242951864696002725</stp>
        <tr r="B14" s="57"/>
      </tp>
    </main>
    <main first="bloomberg.rtd">
      <tp t="e">
        <v>#N/A</v>
        <stp/>
        <stp>##V3_BCURVEINTV12</stp>
        <stp>[XAPI.xlsx]Spreads to curves!R63C14</stp>
        <stp>EUR.3M:BLOOMBERG DC 359428</stp>
        <stp>Par.ask</stp>
        <stp>1mo_x0002__x0003_3mo_x0002__x0003_12mo_x0002__x0003_2 YR_x0002__x0003_5 YR_x0002__x0003_10 YR</stp>
        <stp>Frequency</stp>
        <stp>annual_x0002__x0003_annual_x0002__x0003_annual_x0002__x0003_annual_x0002__x0003_annual_x0002__x0003_annual</stp>
        <stp>Daycount</stp>
        <stp>act_360_eomc_x0002__x0003_act_360_eomc_x0002__x0003_act_360_eomc_x0002__x0003_act_360_eomc_x0002__x0003_act_360_eomc_x0002__x0003_act_360_eomc</stp>
        <tr r="N63" s="57"/>
      </tp>
      <tp t="e">
        <v>#N/A</v>
        <stp/>
        <stp>##V3_BDSV12</stp>
        <stp>AAPL US Equity</stp>
        <stp>opt chain</stp>
        <stp>[XAPI.xlsx]=BDS!R134C3</stp>
        <stp>cols=1;rows=1246</stp>
        <tr r="C134" s="39"/>
      </tp>
      <tp t="e">
        <v>#N/A</v>
        <stp/>
        <stp>##V3_BCURVESTRIPV12</stp>
        <stp>[XAPI.xlsx]Swap &amp; Zero Curves!R34C7</stp>
        <stp>S133</stp>
        <stp>Curvedate=today</stp>
        <tr r="G34" s="72"/>
      </tp>
    </main>
  </volType>
</volTypes>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volatileDependencies" Target="volatileDependenci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 Id="rId48" Type="http://schemas.openxmlformats.org/officeDocument/2006/relationships/calcChain" Target="calcChain.xml"/><Relationship Id="rId8" Type="http://schemas.openxmlformats.org/officeDocument/2006/relationships/worksheet" Target="worksheets/sheet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04870548033042E-2"/>
          <c:y val="0.10727072159458328"/>
          <c:w val="0.92563515465186286"/>
          <c:h val="0.78545855681083343"/>
        </c:manualLayout>
      </c:layout>
      <c:lineChart>
        <c:grouping val="standard"/>
        <c:varyColors val="0"/>
        <c:ser>
          <c:idx val="0"/>
          <c:order val="0"/>
          <c:spPr>
            <a:ln w="12700">
              <a:solidFill>
                <a:sysClr val="windowText" lastClr="000000"/>
              </a:solidFill>
            </a:ln>
          </c:spPr>
          <c:marker>
            <c:spPr>
              <a:solidFill>
                <a:schemeClr val="tx1"/>
              </a:solidFill>
              <a:ln w="12700">
                <a:solidFill>
                  <a:sysClr val="windowText" lastClr="000000"/>
                </a:solidFill>
              </a:ln>
            </c:spPr>
          </c:marker>
          <c:val>
            <c:numRef>
              <c:f>'Yield Curves'!$O$119:$O$132</c:f>
              <c:numCache>
                <c:formatCode>0.0</c:formatCode>
                <c:ptCount val="14"/>
                <c:pt idx="0">
                  <c:v>1.9000000000000017</c:v>
                </c:pt>
                <c:pt idx="1">
                  <c:v>3.2</c:v>
                </c:pt>
                <c:pt idx="2">
                  <c:v>5.3999999999999995</c:v>
                </c:pt>
                <c:pt idx="3">
                  <c:v>6.9</c:v>
                </c:pt>
                <c:pt idx="4">
                  <c:v>3.9000000000000008</c:v>
                </c:pt>
                <c:pt idx="5">
                  <c:v>6.0000000000000009</c:v>
                </c:pt>
                <c:pt idx="6">
                  <c:v>7.5</c:v>
                </c:pt>
                <c:pt idx="7">
                  <c:v>7.9</c:v>
                </c:pt>
                <c:pt idx="8">
                  <c:v>5.9</c:v>
                </c:pt>
                <c:pt idx="9">
                  <c:v>3.3000000000000003</c:v>
                </c:pt>
                <c:pt idx="10">
                  <c:v>-3.4999999999999973</c:v>
                </c:pt>
                <c:pt idx="11">
                  <c:v>-15.999999999999993</c:v>
                </c:pt>
                <c:pt idx="12">
                  <c:v>-22.199999999999985</c:v>
                </c:pt>
                <c:pt idx="13">
                  <c:v>-20.600000000000009</c:v>
                </c:pt>
              </c:numCache>
            </c:numRef>
          </c:val>
          <c:smooth val="0"/>
          <c:extLst>
            <c:ext xmlns:c16="http://schemas.microsoft.com/office/drawing/2014/chart" uri="{C3380CC4-5D6E-409C-BE32-E72D297353CC}">
              <c16:uniqueId val="{00000000-112C-4578-9863-8C85B943C31C}"/>
            </c:ext>
          </c:extLst>
        </c:ser>
        <c:dLbls>
          <c:showLegendKey val="0"/>
          <c:showVal val="0"/>
          <c:showCatName val="0"/>
          <c:showSerName val="0"/>
          <c:showPercent val="0"/>
          <c:showBubbleSize val="0"/>
        </c:dLbls>
        <c:marker val="1"/>
        <c:smooth val="0"/>
        <c:axId val="554169688"/>
        <c:axId val="808133384"/>
      </c:lineChart>
      <c:catAx>
        <c:axId val="554169688"/>
        <c:scaling>
          <c:orientation val="minMax"/>
        </c:scaling>
        <c:delete val="0"/>
        <c:axPos val="b"/>
        <c:numFmt formatCode="General" sourceLinked="1"/>
        <c:majorTickMark val="out"/>
        <c:minorTickMark val="none"/>
        <c:tickLblPos val="nextTo"/>
        <c:txPr>
          <a:bodyPr rot="0" vert="horz"/>
          <a:lstStyle/>
          <a:p>
            <a:pPr>
              <a:defRPr sz="1000" b="0" i="0" u="none" strike="noStrike" baseline="0">
                <a:solidFill>
                  <a:srgbClr val="000000"/>
                </a:solidFill>
                <a:latin typeface="Calibri"/>
                <a:ea typeface="Calibri"/>
                <a:cs typeface="Calibri"/>
              </a:defRPr>
            </a:pPr>
            <a:endParaRPr lang="de-DE"/>
          </a:p>
        </c:txPr>
        <c:crossAx val="808133384"/>
        <c:crosses val="autoZero"/>
        <c:auto val="1"/>
        <c:lblAlgn val="ctr"/>
        <c:lblOffset val="100"/>
        <c:noMultiLvlLbl val="0"/>
      </c:catAx>
      <c:valAx>
        <c:axId val="808133384"/>
        <c:scaling>
          <c:orientation val="minMax"/>
        </c:scaling>
        <c:delete val="0"/>
        <c:axPos val="l"/>
        <c:majorGridlines/>
        <c:numFmt formatCode="0.0" sourceLinked="1"/>
        <c:majorTickMark val="out"/>
        <c:minorTickMark val="none"/>
        <c:tickLblPos val="nextTo"/>
        <c:txPr>
          <a:bodyPr rot="0" vert="horz"/>
          <a:lstStyle/>
          <a:p>
            <a:pPr>
              <a:defRPr sz="1000" b="0" i="0" u="none" strike="noStrike" baseline="0">
                <a:solidFill>
                  <a:srgbClr val="000000"/>
                </a:solidFill>
                <a:latin typeface="Calibri"/>
                <a:ea typeface="Calibri"/>
                <a:cs typeface="Calibri"/>
              </a:defRPr>
            </a:pPr>
            <a:endParaRPr lang="de-DE"/>
          </a:p>
        </c:txPr>
        <c:crossAx val="554169688"/>
        <c:crosses val="autoZero"/>
        <c:crossBetween val="between"/>
      </c:valAx>
    </c:plotArea>
    <c:plotVisOnly val="1"/>
    <c:dispBlanksAs val="gap"/>
    <c:showDLblsOverMax val="0"/>
  </c:chart>
  <c:txPr>
    <a:bodyPr/>
    <a:lstStyle/>
    <a:p>
      <a:pPr>
        <a:defRPr sz="1000" b="0" i="0" u="none" strike="noStrike" baseline="0">
          <a:solidFill>
            <a:srgbClr val="000000"/>
          </a:solidFill>
          <a:latin typeface="Calibri"/>
          <a:ea typeface="Calibri"/>
          <a:cs typeface="Calibri"/>
        </a:defRPr>
      </a:pPr>
      <a:endParaRPr lang="de-DE"/>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lineChart>
        <c:grouping val="standard"/>
        <c:varyColors val="0"/>
        <c:ser>
          <c:idx val="0"/>
          <c:order val="0"/>
          <c:spPr>
            <a:ln w="12700" cap="rnd">
              <a:solidFill>
                <a:srgbClr val="00B050"/>
              </a:solidFill>
              <a:round/>
            </a:ln>
            <a:effectLst/>
          </c:spPr>
          <c:marker>
            <c:symbol val="circle"/>
            <c:size val="5"/>
            <c:spPr>
              <a:solidFill>
                <a:srgbClr val="00B050"/>
              </a:solidFill>
              <a:ln w="12700">
                <a:solidFill>
                  <a:srgbClr val="00B050"/>
                </a:solidFill>
              </a:ln>
              <a:effectLst/>
            </c:spPr>
          </c:marker>
          <c:val>
            <c:numRef>
              <c:f>'Yield Curves'!$M$119:$M$132</c:f>
              <c:numCache>
                <c:formatCode>0.000</c:formatCode>
                <c:ptCount val="14"/>
                <c:pt idx="0">
                  <c:v>-0.182</c:v>
                </c:pt>
                <c:pt idx="1">
                  <c:v>-0.17199999999999999</c:v>
                </c:pt>
                <c:pt idx="2">
                  <c:v>-0.157</c:v>
                </c:pt>
                <c:pt idx="3">
                  <c:v>-0.13200000000000001</c:v>
                </c:pt>
                <c:pt idx="4">
                  <c:v>-0.128</c:v>
                </c:pt>
                <c:pt idx="5">
                  <c:v>-0.107</c:v>
                </c:pt>
                <c:pt idx="6">
                  <c:v>-7.9000000000000001E-2</c:v>
                </c:pt>
                <c:pt idx="7">
                  <c:v>-4.4999999999999998E-2</c:v>
                </c:pt>
                <c:pt idx="8">
                  <c:v>-5.0000000000000001E-3</c:v>
                </c:pt>
                <c:pt idx="9">
                  <c:v>3.2000000000000001E-2</c:v>
                </c:pt>
                <c:pt idx="10">
                  <c:v>0.25800000000000001</c:v>
                </c:pt>
                <c:pt idx="11">
                  <c:v>0.54500000000000004</c:v>
                </c:pt>
                <c:pt idx="12">
                  <c:v>0.78300000000000003</c:v>
                </c:pt>
                <c:pt idx="13">
                  <c:v>0.93899999999999995</c:v>
                </c:pt>
              </c:numCache>
            </c:numRef>
          </c:val>
          <c:smooth val="0"/>
          <c:extLst>
            <c:ext xmlns:c16="http://schemas.microsoft.com/office/drawing/2014/chart" uri="{C3380CC4-5D6E-409C-BE32-E72D297353CC}">
              <c16:uniqueId val="{00000000-99AE-4313-9EDE-1C11D10EFAEA}"/>
            </c:ext>
          </c:extLst>
        </c:ser>
        <c:ser>
          <c:idx val="1"/>
          <c:order val="1"/>
          <c:spPr>
            <a:ln w="12700">
              <a:solidFill>
                <a:srgbClr val="FF0000"/>
              </a:solidFill>
              <a:prstDash val="solid"/>
            </a:ln>
          </c:spPr>
          <c:marker>
            <c:symbol val="circle"/>
            <c:size val="5"/>
            <c:spPr>
              <a:solidFill>
                <a:srgbClr val="FF0000"/>
              </a:solidFill>
              <a:ln>
                <a:solidFill>
                  <a:srgbClr val="FF0000"/>
                </a:solidFill>
                <a:prstDash val="solid"/>
              </a:ln>
            </c:spPr>
          </c:marker>
          <c:val>
            <c:numRef>
              <c:f>'Yield Curves'!$N$119:$N$132</c:f>
              <c:numCache>
                <c:formatCode>0.000</c:formatCode>
                <c:ptCount val="14"/>
                <c:pt idx="0">
                  <c:v>-0.20100000000000001</c:v>
                </c:pt>
                <c:pt idx="1">
                  <c:v>-0.20399999999999999</c:v>
                </c:pt>
                <c:pt idx="2">
                  <c:v>-0.21099999999999999</c:v>
                </c:pt>
                <c:pt idx="3">
                  <c:v>-0.20100000000000001</c:v>
                </c:pt>
                <c:pt idx="4">
                  <c:v>-0.16700000000000001</c:v>
                </c:pt>
                <c:pt idx="5">
                  <c:v>-0.16700000000000001</c:v>
                </c:pt>
                <c:pt idx="6">
                  <c:v>-0.154</c:v>
                </c:pt>
                <c:pt idx="7">
                  <c:v>-0.124</c:v>
                </c:pt>
                <c:pt idx="8">
                  <c:v>-6.4000000000000001E-2</c:v>
                </c:pt>
                <c:pt idx="9">
                  <c:v>-1E-3</c:v>
                </c:pt>
                <c:pt idx="10">
                  <c:v>0.29299999999999998</c:v>
                </c:pt>
                <c:pt idx="11">
                  <c:v>0.70499999999999996</c:v>
                </c:pt>
                <c:pt idx="12">
                  <c:v>1.0049999999999999</c:v>
                </c:pt>
                <c:pt idx="13">
                  <c:v>1.145</c:v>
                </c:pt>
              </c:numCache>
            </c:numRef>
          </c:val>
          <c:smooth val="0"/>
          <c:extLst>
            <c:ext xmlns:c16="http://schemas.microsoft.com/office/drawing/2014/chart" uri="{C3380CC4-5D6E-409C-BE32-E72D297353CC}">
              <c16:uniqueId val="{00000001-99AE-4313-9EDE-1C11D10EFAEA}"/>
            </c:ext>
          </c:extLst>
        </c:ser>
        <c:dLbls>
          <c:showLegendKey val="0"/>
          <c:showVal val="0"/>
          <c:showCatName val="0"/>
          <c:showSerName val="0"/>
          <c:showPercent val="0"/>
          <c:showBubbleSize val="0"/>
        </c:dLbls>
        <c:marker val="1"/>
        <c:smooth val="0"/>
        <c:axId val="553628064"/>
        <c:axId val="553628456"/>
      </c:lineChart>
      <c:catAx>
        <c:axId val="5536280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vert="horz"/>
          <a:lstStyle/>
          <a:p>
            <a:pPr>
              <a:defRPr sz="900" b="0" i="0" u="none" strike="noStrike" baseline="0">
                <a:solidFill>
                  <a:srgbClr val="333333"/>
                </a:solidFill>
                <a:latin typeface="Calibri"/>
                <a:ea typeface="Calibri"/>
                <a:cs typeface="Calibri"/>
              </a:defRPr>
            </a:pPr>
            <a:endParaRPr lang="de-DE"/>
          </a:p>
        </c:txPr>
        <c:crossAx val="553628456"/>
        <c:crosses val="autoZero"/>
        <c:auto val="1"/>
        <c:lblAlgn val="ctr"/>
        <c:lblOffset val="100"/>
        <c:noMultiLvlLbl val="0"/>
      </c:catAx>
      <c:valAx>
        <c:axId val="553628456"/>
        <c:scaling>
          <c:orientation val="minMax"/>
        </c:scaling>
        <c:delete val="0"/>
        <c:axPos val="l"/>
        <c:majorGridlines>
          <c:spPr>
            <a:ln w="9525" cap="flat" cmpd="sng" algn="ctr">
              <a:solidFill>
                <a:schemeClr val="tx1">
                  <a:lumMod val="15000"/>
                  <a:lumOff val="85000"/>
                </a:schemeClr>
              </a:solidFill>
              <a:round/>
            </a:ln>
            <a:effectLst/>
          </c:spPr>
        </c:majorGridlines>
        <c:numFmt formatCode="0.000" sourceLinked="1"/>
        <c:majorTickMark val="none"/>
        <c:minorTickMark val="none"/>
        <c:tickLblPos val="nextTo"/>
        <c:spPr>
          <a:ln w="9525">
            <a:noFill/>
          </a:ln>
        </c:spPr>
        <c:txPr>
          <a:bodyPr rot="0" vert="horz"/>
          <a:lstStyle/>
          <a:p>
            <a:pPr>
              <a:defRPr sz="900" b="0" i="0" u="none" strike="noStrike" baseline="0">
                <a:solidFill>
                  <a:srgbClr val="333333"/>
                </a:solidFill>
                <a:latin typeface="Calibri"/>
                <a:ea typeface="Calibri"/>
                <a:cs typeface="Calibri"/>
              </a:defRPr>
            </a:pPr>
            <a:endParaRPr lang="de-DE"/>
          </a:p>
        </c:txPr>
        <c:crossAx val="553628064"/>
        <c:crosses val="autoZero"/>
        <c:crossBetween val="between"/>
      </c:valAx>
      <c:spPr>
        <a:noFill/>
        <a:ln w="25400">
          <a:noFill/>
        </a:ln>
      </c:spPr>
    </c:plotArea>
    <c:plotVisOnly val="1"/>
    <c:dispBlanksAs val="gap"/>
    <c:showDLblsOverMax val="0"/>
  </c:chart>
  <c:spPr>
    <a:solidFill>
      <a:schemeClr val="bg1"/>
    </a:solidFill>
    <a:ln w="9525" cap="flat" cmpd="sng" algn="ctr">
      <a:solidFill>
        <a:schemeClr val="bg1">
          <a:lumMod val="50000"/>
        </a:schemeClr>
      </a:solidFill>
      <a:round/>
    </a:ln>
    <a:effectLst/>
  </c:spPr>
  <c:txPr>
    <a:bodyPr/>
    <a:lstStyle/>
    <a:p>
      <a:pPr>
        <a:defRPr sz="1000" b="0" i="0" u="none" strike="noStrike" baseline="0">
          <a:solidFill>
            <a:srgbClr val="000000"/>
          </a:solidFill>
          <a:latin typeface="Calibri"/>
          <a:ea typeface="Calibri"/>
          <a:cs typeface="Calibri"/>
        </a:defRPr>
      </a:pPr>
      <a:endParaRPr lang="de-DE"/>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lineChart>
        <c:grouping val="standard"/>
        <c:varyColors val="0"/>
        <c:ser>
          <c:idx val="0"/>
          <c:order val="0"/>
          <c:spPr>
            <a:ln w="12700">
              <a:solidFill>
                <a:srgbClr val="00CC66"/>
              </a:solidFill>
            </a:ln>
          </c:spPr>
          <c:marker>
            <c:symbol val="diamond"/>
            <c:size val="5"/>
            <c:spPr>
              <a:ln w="12700">
                <a:solidFill>
                  <a:srgbClr val="00CC66"/>
                </a:solidFill>
              </a:ln>
            </c:spPr>
          </c:marker>
          <c:val>
            <c:numRef>
              <c:f>'Swap &amp; Zero Curves'!$I$39:$I$73</c:f>
              <c:numCache>
                <c:formatCode>0.000</c:formatCode>
                <c:ptCount val="35"/>
                <c:pt idx="0">
                  <c:v>-0.37</c:v>
                </c:pt>
                <c:pt idx="1">
                  <c:v>-0.37152000000000002</c:v>
                </c:pt>
                <c:pt idx="2">
                  <c:v>-0.36030000000000001</c:v>
                </c:pt>
                <c:pt idx="3">
                  <c:v>-0.35893000000000003</c:v>
                </c:pt>
                <c:pt idx="4">
                  <c:v>-0.35744999999999999</c:v>
                </c:pt>
                <c:pt idx="5">
                  <c:v>-0.35603000000000001</c:v>
                </c:pt>
                <c:pt idx="6">
                  <c:v>-0.35546</c:v>
                </c:pt>
                <c:pt idx="7">
                  <c:v>-0.35347000000000001</c:v>
                </c:pt>
                <c:pt idx="8">
                  <c:v>-0.35399999999999998</c:v>
                </c:pt>
                <c:pt idx="9">
                  <c:v>-0.35204000000000002</c:v>
                </c:pt>
                <c:pt idx="10">
                  <c:v>-0.35287000000000002</c:v>
                </c:pt>
                <c:pt idx="11">
                  <c:v>-0.35299999999999998</c:v>
                </c:pt>
                <c:pt idx="12">
                  <c:v>-0.35042000000000001</c:v>
                </c:pt>
                <c:pt idx="13">
                  <c:v>-0.34283000000000002</c:v>
                </c:pt>
                <c:pt idx="14">
                  <c:v>-0.29548999999999997</c:v>
                </c:pt>
                <c:pt idx="15">
                  <c:v>-0.22761000000000001</c:v>
                </c:pt>
                <c:pt idx="16">
                  <c:v>-0.14731</c:v>
                </c:pt>
                <c:pt idx="17">
                  <c:v>-6.6680000000000003E-2</c:v>
                </c:pt>
                <c:pt idx="18">
                  <c:v>9.8210000000000006E-2</c:v>
                </c:pt>
                <c:pt idx="19">
                  <c:v>0.24762999999999999</c:v>
                </c:pt>
                <c:pt idx="20">
                  <c:v>0.37631999999999999</c:v>
                </c:pt>
                <c:pt idx="21">
                  <c:v>0.52405000000000002</c:v>
                </c:pt>
                <c:pt idx="22">
                  <c:v>0.64727000000000001</c:v>
                </c:pt>
                <c:pt idx="23">
                  <c:v>0.74621000000000004</c:v>
                </c:pt>
                <c:pt idx="24">
                  <c:v>0.85485</c:v>
                </c:pt>
                <c:pt idx="25">
                  <c:v>0.95865999999999996</c:v>
                </c:pt>
                <c:pt idx="26">
                  <c:v>1.0315099999999999</c:v>
                </c:pt>
                <c:pt idx="27">
                  <c:v>1.22715</c:v>
                </c:pt>
                <c:pt idx="28">
                  <c:v>1.40893</c:v>
                </c:pt>
                <c:pt idx="29">
                  <c:v>1.4653099999999999</c:v>
                </c:pt>
                <c:pt idx="30">
                  <c:v>1.4665999999999999</c:v>
                </c:pt>
                <c:pt idx="31">
                  <c:v>1.48356</c:v>
                </c:pt>
                <c:pt idx="32">
                  <c:v>1.47092</c:v>
                </c:pt>
                <c:pt idx="33">
                  <c:v>1.4229099999999999</c:v>
                </c:pt>
              </c:numCache>
            </c:numRef>
          </c:val>
          <c:smooth val="0"/>
          <c:extLst>
            <c:ext xmlns:c16="http://schemas.microsoft.com/office/drawing/2014/chart" uri="{C3380CC4-5D6E-409C-BE32-E72D297353CC}">
              <c16:uniqueId val="{00000000-8007-43AF-BC2A-E829F3306EF7}"/>
            </c:ext>
          </c:extLst>
        </c:ser>
        <c:ser>
          <c:idx val="1"/>
          <c:order val="1"/>
          <c:spPr>
            <a:ln w="12700">
              <a:solidFill>
                <a:srgbClr val="FF0000"/>
              </a:solidFill>
            </a:ln>
          </c:spPr>
          <c:marker>
            <c:symbol val="circle"/>
            <c:size val="4"/>
            <c:spPr>
              <a:ln w="12700">
                <a:solidFill>
                  <a:srgbClr val="FF0000"/>
                </a:solidFill>
              </a:ln>
            </c:spPr>
          </c:marker>
          <c:val>
            <c:numRef>
              <c:f>'Swap &amp; Zero Curves'!$L$39:$L$73</c:f>
              <c:numCache>
                <c:formatCode>0.000</c:formatCode>
                <c:ptCount val="35"/>
                <c:pt idx="0">
                  <c:v>-7.0000000000000007E-2</c:v>
                </c:pt>
                <c:pt idx="1">
                  <c:v>-7.9119999999999996E-2</c:v>
                </c:pt>
                <c:pt idx="2">
                  <c:v>-4.7669999999999997E-2</c:v>
                </c:pt>
                <c:pt idx="3">
                  <c:v>-3.381E-2</c:v>
                </c:pt>
                <c:pt idx="4">
                  <c:v>-3.9989999999999998E-2</c:v>
                </c:pt>
                <c:pt idx="5">
                  <c:v>-5.1670000000000001E-2</c:v>
                </c:pt>
                <c:pt idx="6">
                  <c:v>-5.4199999999999998E-2</c:v>
                </c:pt>
                <c:pt idx="7">
                  <c:v>-6.837E-2</c:v>
                </c:pt>
                <c:pt idx="8">
                  <c:v>-7.1529999999999996E-2</c:v>
                </c:pt>
                <c:pt idx="9">
                  <c:v>-7.4980000000000005E-2</c:v>
                </c:pt>
                <c:pt idx="10">
                  <c:v>-7.3760000000000006E-2</c:v>
                </c:pt>
                <c:pt idx="11">
                  <c:v>-7.8820000000000001E-2</c:v>
                </c:pt>
                <c:pt idx="12">
                  <c:v>-7.7060000000000003E-2</c:v>
                </c:pt>
                <c:pt idx="13">
                  <c:v>-7.9960000000000003E-2</c:v>
                </c:pt>
                <c:pt idx="14">
                  <c:v>-8.7169999999999997E-2</c:v>
                </c:pt>
                <c:pt idx="15">
                  <c:v>-8.7800000000000003E-2</c:v>
                </c:pt>
                <c:pt idx="16">
                  <c:v>-7.9140000000000002E-2</c:v>
                </c:pt>
                <c:pt idx="17">
                  <c:v>-7.8920000000000004E-2</c:v>
                </c:pt>
                <c:pt idx="18">
                  <c:v>-4.4139999999999999E-2</c:v>
                </c:pt>
                <c:pt idx="19">
                  <c:v>1.2930000000000001E-2</c:v>
                </c:pt>
                <c:pt idx="20">
                  <c:v>8.6470000000000005E-2</c:v>
                </c:pt>
                <c:pt idx="21">
                  <c:v>0.17083000000000001</c:v>
                </c:pt>
                <c:pt idx="22">
                  <c:v>0.26096000000000003</c:v>
                </c:pt>
                <c:pt idx="23">
                  <c:v>0.35359000000000002</c:v>
                </c:pt>
                <c:pt idx="24">
                  <c:v>0.44046999999999997</c:v>
                </c:pt>
                <c:pt idx="25">
                  <c:v>0.52671999999999997</c:v>
                </c:pt>
                <c:pt idx="26">
                  <c:v>0.59496000000000004</c:v>
                </c:pt>
                <c:pt idx="27">
                  <c:v>0.77715000000000001</c:v>
                </c:pt>
                <c:pt idx="28">
                  <c:v>0.98692000000000002</c:v>
                </c:pt>
                <c:pt idx="29">
                  <c:v>1.11277</c:v>
                </c:pt>
                <c:pt idx="30">
                  <c:v>1.1943999999999999</c:v>
                </c:pt>
                <c:pt idx="31">
                  <c:v>1.2546999999999999</c:v>
                </c:pt>
                <c:pt idx="32">
                  <c:v>1.2849299999999999</c:v>
                </c:pt>
                <c:pt idx="33">
                  <c:v>1.27074</c:v>
                </c:pt>
              </c:numCache>
            </c:numRef>
          </c:val>
          <c:smooth val="0"/>
          <c:extLst>
            <c:ext xmlns:c16="http://schemas.microsoft.com/office/drawing/2014/chart" uri="{C3380CC4-5D6E-409C-BE32-E72D297353CC}">
              <c16:uniqueId val="{00000001-8007-43AF-BC2A-E829F3306EF7}"/>
            </c:ext>
          </c:extLst>
        </c:ser>
        <c:dLbls>
          <c:showLegendKey val="0"/>
          <c:showVal val="0"/>
          <c:showCatName val="0"/>
          <c:showSerName val="0"/>
          <c:showPercent val="0"/>
          <c:showBubbleSize val="0"/>
        </c:dLbls>
        <c:marker val="1"/>
        <c:smooth val="0"/>
        <c:axId val="553629240"/>
        <c:axId val="553629632"/>
      </c:lineChart>
      <c:catAx>
        <c:axId val="553629240"/>
        <c:scaling>
          <c:orientation val="minMax"/>
        </c:scaling>
        <c:delete val="1"/>
        <c:axPos val="b"/>
        <c:majorTickMark val="out"/>
        <c:minorTickMark val="none"/>
        <c:tickLblPos val="nextTo"/>
        <c:crossAx val="553629632"/>
        <c:crosses val="autoZero"/>
        <c:auto val="1"/>
        <c:lblAlgn val="ctr"/>
        <c:lblOffset val="100"/>
        <c:noMultiLvlLbl val="0"/>
      </c:catAx>
      <c:valAx>
        <c:axId val="553629632"/>
        <c:scaling>
          <c:orientation val="minMax"/>
        </c:scaling>
        <c:delete val="0"/>
        <c:axPos val="l"/>
        <c:majorGridlines/>
        <c:numFmt formatCode="0.000" sourceLinked="1"/>
        <c:majorTickMark val="out"/>
        <c:minorTickMark val="none"/>
        <c:tickLblPos val="nextTo"/>
        <c:txPr>
          <a:bodyPr rot="0" vert="horz"/>
          <a:lstStyle/>
          <a:p>
            <a:pPr>
              <a:defRPr sz="1000" b="0" i="0" u="none" strike="noStrike" baseline="0">
                <a:solidFill>
                  <a:srgbClr val="000000"/>
                </a:solidFill>
                <a:latin typeface="Calibri"/>
                <a:ea typeface="Calibri"/>
                <a:cs typeface="Calibri"/>
              </a:defRPr>
            </a:pPr>
            <a:endParaRPr lang="de-DE"/>
          </a:p>
        </c:txPr>
        <c:crossAx val="553629240"/>
        <c:crosses val="autoZero"/>
        <c:crossBetween val="between"/>
      </c:valAx>
    </c:plotArea>
    <c:plotVisOnly val="1"/>
    <c:dispBlanksAs val="gap"/>
    <c:showDLblsOverMax val="0"/>
  </c:chart>
  <c:spPr>
    <a:effectLst>
      <a:outerShdw blurRad="50800" dist="38100" dir="2700000" algn="tl" rotWithShape="0">
        <a:prstClr val="black">
          <a:alpha val="40000"/>
        </a:prstClr>
      </a:outerShdw>
    </a:effectLst>
  </c:spPr>
  <c:txPr>
    <a:bodyPr/>
    <a:lstStyle/>
    <a:p>
      <a:pPr>
        <a:defRPr sz="1000" b="0" i="0" u="none" strike="noStrike" baseline="0">
          <a:solidFill>
            <a:srgbClr val="000000"/>
          </a:solidFill>
          <a:latin typeface="Calibri"/>
          <a:ea typeface="Calibri"/>
          <a:cs typeface="Calibri"/>
        </a:defRPr>
      </a:pPr>
      <a:endParaRPr lang="de-DE"/>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lineChart>
        <c:grouping val="standard"/>
        <c:varyColors val="0"/>
        <c:ser>
          <c:idx val="0"/>
          <c:order val="0"/>
          <c:spPr>
            <a:ln w="12700">
              <a:solidFill>
                <a:srgbClr val="0070C0"/>
              </a:solidFill>
            </a:ln>
          </c:spPr>
          <c:marker>
            <c:symbol val="circle"/>
            <c:size val="5"/>
            <c:spPr>
              <a:solidFill>
                <a:srgbClr val="0070C0"/>
              </a:solidFill>
              <a:ln w="12700">
                <a:solidFill>
                  <a:srgbClr val="0070C0"/>
                </a:solidFill>
              </a:ln>
            </c:spPr>
          </c:marker>
          <c:val>
            <c:numRef>
              <c:f>'Swap &amp; Zero Curves'!$N$39:$N$73</c:f>
              <c:numCache>
                <c:formatCode>0.0</c:formatCode>
                <c:ptCount val="35"/>
                <c:pt idx="0">
                  <c:v>-30</c:v>
                </c:pt>
                <c:pt idx="1">
                  <c:v>-29.24</c:v>
                </c:pt>
                <c:pt idx="2">
                  <c:v>-31.263000000000002</c:v>
                </c:pt>
                <c:pt idx="3">
                  <c:v>-32.512</c:v>
                </c:pt>
                <c:pt idx="4">
                  <c:v>-31.745999999999995</c:v>
                </c:pt>
                <c:pt idx="5">
                  <c:v>-30.436000000000003</c:v>
                </c:pt>
                <c:pt idx="6">
                  <c:v>-30.125999999999998</c:v>
                </c:pt>
                <c:pt idx="7">
                  <c:v>-28.51</c:v>
                </c:pt>
                <c:pt idx="8">
                  <c:v>-28.247</c:v>
                </c:pt>
                <c:pt idx="9">
                  <c:v>-27.706000000000003</c:v>
                </c:pt>
                <c:pt idx="10">
                  <c:v>-27.911000000000001</c:v>
                </c:pt>
                <c:pt idx="11">
                  <c:v>-27.417999999999999</c:v>
                </c:pt>
                <c:pt idx="12">
                  <c:v>-27.335999999999999</c:v>
                </c:pt>
                <c:pt idx="13">
                  <c:v>-26.287000000000006</c:v>
                </c:pt>
                <c:pt idx="14">
                  <c:v>-20.831999999999997</c:v>
                </c:pt>
                <c:pt idx="15">
                  <c:v>-13.980999999999998</c:v>
                </c:pt>
                <c:pt idx="16">
                  <c:v>-6.8169999999999993</c:v>
                </c:pt>
                <c:pt idx="17">
                  <c:v>1.2240000000000002</c:v>
                </c:pt>
                <c:pt idx="18">
                  <c:v>14.235000000000001</c:v>
                </c:pt>
                <c:pt idx="19">
                  <c:v>23.47</c:v>
                </c:pt>
                <c:pt idx="20">
                  <c:v>28.984999999999999</c:v>
                </c:pt>
                <c:pt idx="21">
                  <c:v>35.321999999999996</c:v>
                </c:pt>
                <c:pt idx="22">
                  <c:v>38.631</c:v>
                </c:pt>
                <c:pt idx="23">
                  <c:v>39.262</c:v>
                </c:pt>
                <c:pt idx="24">
                  <c:v>41.438000000000002</c:v>
                </c:pt>
                <c:pt idx="25">
                  <c:v>43.194000000000003</c:v>
                </c:pt>
                <c:pt idx="26">
                  <c:v>43.654999999999987</c:v>
                </c:pt>
                <c:pt idx="27">
                  <c:v>44.999999999999993</c:v>
                </c:pt>
                <c:pt idx="28">
                  <c:v>42.201000000000001</c:v>
                </c:pt>
                <c:pt idx="29">
                  <c:v>35.253999999999984</c:v>
                </c:pt>
                <c:pt idx="30">
                  <c:v>27.22</c:v>
                </c:pt>
                <c:pt idx="31">
                  <c:v>22.886000000000006</c:v>
                </c:pt>
                <c:pt idx="32">
                  <c:v>18.599000000000011</c:v>
                </c:pt>
                <c:pt idx="33">
                  <c:v>15.216999999999992</c:v>
                </c:pt>
                <c:pt idx="34">
                  <c:v>0</c:v>
                </c:pt>
              </c:numCache>
            </c:numRef>
          </c:val>
          <c:smooth val="0"/>
          <c:extLst>
            <c:ext xmlns:c16="http://schemas.microsoft.com/office/drawing/2014/chart" uri="{C3380CC4-5D6E-409C-BE32-E72D297353CC}">
              <c16:uniqueId val="{00000000-F1B8-4648-A3DB-C43AA7CD63E1}"/>
            </c:ext>
          </c:extLst>
        </c:ser>
        <c:dLbls>
          <c:showLegendKey val="0"/>
          <c:showVal val="0"/>
          <c:showCatName val="0"/>
          <c:showSerName val="0"/>
          <c:showPercent val="0"/>
          <c:showBubbleSize val="0"/>
        </c:dLbls>
        <c:marker val="1"/>
        <c:smooth val="0"/>
        <c:axId val="553630416"/>
        <c:axId val="553630808"/>
      </c:lineChart>
      <c:catAx>
        <c:axId val="553630416"/>
        <c:scaling>
          <c:orientation val="minMax"/>
        </c:scaling>
        <c:delete val="1"/>
        <c:axPos val="b"/>
        <c:majorTickMark val="out"/>
        <c:minorTickMark val="none"/>
        <c:tickLblPos val="nextTo"/>
        <c:crossAx val="553630808"/>
        <c:crosses val="autoZero"/>
        <c:auto val="1"/>
        <c:lblAlgn val="ctr"/>
        <c:lblOffset val="100"/>
        <c:noMultiLvlLbl val="0"/>
      </c:catAx>
      <c:valAx>
        <c:axId val="553630808"/>
        <c:scaling>
          <c:orientation val="minMax"/>
        </c:scaling>
        <c:delete val="0"/>
        <c:axPos val="l"/>
        <c:majorGridlines/>
        <c:numFmt formatCode="0.0" sourceLinked="1"/>
        <c:majorTickMark val="out"/>
        <c:minorTickMark val="none"/>
        <c:tickLblPos val="nextTo"/>
        <c:txPr>
          <a:bodyPr rot="0" vert="horz"/>
          <a:lstStyle/>
          <a:p>
            <a:pPr>
              <a:defRPr sz="1000" b="0" i="0" u="none" strike="noStrike" baseline="0">
                <a:solidFill>
                  <a:srgbClr val="000000"/>
                </a:solidFill>
                <a:latin typeface="Calibri"/>
                <a:ea typeface="Calibri"/>
                <a:cs typeface="Calibri"/>
              </a:defRPr>
            </a:pPr>
            <a:endParaRPr lang="de-DE"/>
          </a:p>
        </c:txPr>
        <c:crossAx val="553630416"/>
        <c:crosses val="autoZero"/>
        <c:crossBetween val="between"/>
      </c:valAx>
    </c:plotArea>
    <c:plotVisOnly val="1"/>
    <c:dispBlanksAs val="gap"/>
    <c:showDLblsOverMax val="0"/>
  </c:chart>
  <c:spPr>
    <a:effectLst>
      <a:outerShdw blurRad="50800" dist="38100" dir="2700000" algn="tl" rotWithShape="0">
        <a:prstClr val="black">
          <a:alpha val="40000"/>
        </a:prstClr>
      </a:outerShdw>
    </a:effectLst>
  </c:spPr>
  <c:txPr>
    <a:bodyPr/>
    <a:lstStyle/>
    <a:p>
      <a:pPr>
        <a:defRPr sz="1000" b="0" i="0" u="none" strike="noStrike" baseline="0">
          <a:solidFill>
            <a:srgbClr val="000000"/>
          </a:solidFill>
          <a:latin typeface="Calibri"/>
          <a:ea typeface="Calibri"/>
          <a:cs typeface="Calibri"/>
        </a:defRPr>
      </a:pPr>
      <a:endParaRPr lang="de-DE"/>
    </a:p>
  </c:txPr>
  <c:printSettings>
    <c:headerFooter/>
    <c:pageMargins b="0.75" l="0.7" r="0.7" t="0.75" header="0.3" footer="0.3"/>
    <c:pageSetup/>
  </c:printSettings>
</c:chartSpace>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3" Type="http://schemas.openxmlformats.org/officeDocument/2006/relationships/image" Target="../media/image10.png"/><Relationship Id="rId21" Type="http://schemas.openxmlformats.org/officeDocument/2006/relationships/image" Target="../media/image28.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19" Type="http://schemas.openxmlformats.org/officeDocument/2006/relationships/image" Target="../media/image26.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s>
</file>

<file path=xl/drawings/_rels/drawing4.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1.png"/><Relationship Id="rId4" Type="http://schemas.openxmlformats.org/officeDocument/2006/relationships/image" Target="../media/image32.png"/></Relationships>
</file>

<file path=xl/drawings/_rels/drawing5.xml.rels><?xml version="1.0" encoding="UTF-8" standalone="yes"?>
<Relationships xmlns="http://schemas.openxmlformats.org/package/2006/relationships"><Relationship Id="rId8" Type="http://schemas.openxmlformats.org/officeDocument/2006/relationships/image" Target="../media/image40.png"/><Relationship Id="rId3" Type="http://schemas.openxmlformats.org/officeDocument/2006/relationships/image" Target="../media/image35.png"/><Relationship Id="rId7" Type="http://schemas.openxmlformats.org/officeDocument/2006/relationships/image" Target="../media/image39.png"/><Relationship Id="rId2" Type="http://schemas.openxmlformats.org/officeDocument/2006/relationships/image" Target="../media/image34.png"/><Relationship Id="rId1" Type="http://schemas.openxmlformats.org/officeDocument/2006/relationships/image" Target="../media/image33.png"/><Relationship Id="rId6" Type="http://schemas.openxmlformats.org/officeDocument/2006/relationships/image" Target="../media/image38.png"/><Relationship Id="rId5" Type="http://schemas.openxmlformats.org/officeDocument/2006/relationships/image" Target="../media/image37.png"/><Relationship Id="rId4" Type="http://schemas.openxmlformats.org/officeDocument/2006/relationships/image" Target="../media/image36.png"/></Relationships>
</file>

<file path=xl/drawings/_rels/drawing6.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png"/></Relationships>
</file>

<file path=xl/drawings/_rels/drawing7.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43.png"/><Relationship Id="rId1" Type="http://schemas.openxmlformats.org/officeDocument/2006/relationships/image" Target="../media/image1.png"/><Relationship Id="rId6" Type="http://schemas.openxmlformats.org/officeDocument/2006/relationships/image" Target="../media/image47.png"/><Relationship Id="rId5" Type="http://schemas.openxmlformats.org/officeDocument/2006/relationships/image" Target="../media/image46.png"/><Relationship Id="rId4" Type="http://schemas.openxmlformats.org/officeDocument/2006/relationships/image" Target="../media/image45.png"/></Relationships>
</file>

<file path=xl/drawings/_rels/drawing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9.xml.rels><?xml version="1.0" encoding="UTF-8" standalone="yes"?>
<Relationships xmlns="http://schemas.openxmlformats.org/package/2006/relationships"><Relationship Id="rId8" Type="http://schemas.openxmlformats.org/officeDocument/2006/relationships/image" Target="../media/image56.png"/><Relationship Id="rId3" Type="http://schemas.openxmlformats.org/officeDocument/2006/relationships/image" Target="../media/image51.png"/><Relationship Id="rId7" Type="http://schemas.openxmlformats.org/officeDocument/2006/relationships/image" Target="../media/image55.pn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4.png"/><Relationship Id="rId5" Type="http://schemas.openxmlformats.org/officeDocument/2006/relationships/image" Target="../media/image53.png"/><Relationship Id="rId4" Type="http://schemas.openxmlformats.org/officeDocument/2006/relationships/image" Target="../media/image52.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5" Type="http://schemas.openxmlformats.org/officeDocument/2006/relationships/image" Target="../media/image61.png"/><Relationship Id="rId4" Type="http://schemas.openxmlformats.org/officeDocument/2006/relationships/image" Target="../media/image6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69.png"/><Relationship Id="rId13" Type="http://schemas.openxmlformats.org/officeDocument/2006/relationships/image" Target="../media/image74.png"/><Relationship Id="rId3" Type="http://schemas.openxmlformats.org/officeDocument/2006/relationships/image" Target="../media/image64.png"/><Relationship Id="rId7" Type="http://schemas.openxmlformats.org/officeDocument/2006/relationships/image" Target="../media/image68.png"/><Relationship Id="rId12" Type="http://schemas.openxmlformats.org/officeDocument/2006/relationships/image" Target="../media/image73.png"/><Relationship Id="rId2" Type="http://schemas.openxmlformats.org/officeDocument/2006/relationships/image" Target="../media/image63.png"/><Relationship Id="rId1" Type="http://schemas.openxmlformats.org/officeDocument/2006/relationships/image" Target="../media/image62.png"/><Relationship Id="rId6" Type="http://schemas.openxmlformats.org/officeDocument/2006/relationships/image" Target="../media/image67.png"/><Relationship Id="rId11" Type="http://schemas.openxmlformats.org/officeDocument/2006/relationships/image" Target="../media/image72.png"/><Relationship Id="rId5" Type="http://schemas.openxmlformats.org/officeDocument/2006/relationships/image" Target="../media/image66.png"/><Relationship Id="rId10" Type="http://schemas.openxmlformats.org/officeDocument/2006/relationships/image" Target="../media/image71.png"/><Relationship Id="rId4" Type="http://schemas.openxmlformats.org/officeDocument/2006/relationships/image" Target="../media/image65.png"/><Relationship Id="rId9" Type="http://schemas.openxmlformats.org/officeDocument/2006/relationships/image" Target="../media/image70.png"/><Relationship Id="rId14" Type="http://schemas.openxmlformats.org/officeDocument/2006/relationships/image" Target="../media/image75.png"/></Relationships>
</file>

<file path=xl/drawings/_rels/drawing12.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image" Target="../media/image82.pn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85.png"/><Relationship Id="rId7" Type="http://schemas.openxmlformats.org/officeDocument/2006/relationships/image" Target="../media/image89.png"/><Relationship Id="rId2" Type="http://schemas.openxmlformats.org/officeDocument/2006/relationships/image" Target="../media/image84.png"/><Relationship Id="rId1" Type="http://schemas.openxmlformats.org/officeDocument/2006/relationships/image" Target="../media/image83.jpeg"/><Relationship Id="rId6" Type="http://schemas.openxmlformats.org/officeDocument/2006/relationships/image" Target="../media/image88.png"/><Relationship Id="rId5" Type="http://schemas.openxmlformats.org/officeDocument/2006/relationships/image" Target="../media/image87.png"/><Relationship Id="rId4" Type="http://schemas.openxmlformats.org/officeDocument/2006/relationships/image" Target="../media/image8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9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91.png"/></Relationships>
</file>

<file path=xl/drawings/_rels/drawing16.xml.rels><?xml version="1.0" encoding="UTF-8" standalone="yes"?>
<Relationships xmlns="http://schemas.openxmlformats.org/package/2006/relationships"><Relationship Id="rId3" Type="http://schemas.openxmlformats.org/officeDocument/2006/relationships/image" Target="../media/image94.png"/><Relationship Id="rId7" Type="http://schemas.openxmlformats.org/officeDocument/2006/relationships/image" Target="../media/image98.png"/><Relationship Id="rId2" Type="http://schemas.openxmlformats.org/officeDocument/2006/relationships/image" Target="../media/image93.png"/><Relationship Id="rId1" Type="http://schemas.openxmlformats.org/officeDocument/2006/relationships/image" Target="../media/image92.png"/><Relationship Id="rId6" Type="http://schemas.openxmlformats.org/officeDocument/2006/relationships/image" Target="../media/image97.png"/><Relationship Id="rId5" Type="http://schemas.openxmlformats.org/officeDocument/2006/relationships/image" Target="../media/image96.png"/><Relationship Id="rId4" Type="http://schemas.openxmlformats.org/officeDocument/2006/relationships/image" Target="../media/image95.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06.png"/><Relationship Id="rId3" Type="http://schemas.openxmlformats.org/officeDocument/2006/relationships/image" Target="../media/image101.png"/><Relationship Id="rId7" Type="http://schemas.openxmlformats.org/officeDocument/2006/relationships/image" Target="../media/image105.png"/><Relationship Id="rId2" Type="http://schemas.openxmlformats.org/officeDocument/2006/relationships/image" Target="../media/image100.png"/><Relationship Id="rId1" Type="http://schemas.openxmlformats.org/officeDocument/2006/relationships/image" Target="../media/image99.png"/><Relationship Id="rId6" Type="http://schemas.openxmlformats.org/officeDocument/2006/relationships/image" Target="../media/image104.png"/><Relationship Id="rId5" Type="http://schemas.openxmlformats.org/officeDocument/2006/relationships/image" Target="../media/image103.png"/><Relationship Id="rId4" Type="http://schemas.openxmlformats.org/officeDocument/2006/relationships/image" Target="../media/image102.png"/></Relationships>
</file>

<file path=xl/drawings/_rels/drawing18.xml.rels><?xml version="1.0" encoding="UTF-8" standalone="yes"?>
<Relationships xmlns="http://schemas.openxmlformats.org/package/2006/relationships"><Relationship Id="rId8" Type="http://schemas.openxmlformats.org/officeDocument/2006/relationships/image" Target="../media/image114.png"/><Relationship Id="rId3" Type="http://schemas.openxmlformats.org/officeDocument/2006/relationships/image" Target="../media/image109.jpeg"/><Relationship Id="rId7" Type="http://schemas.openxmlformats.org/officeDocument/2006/relationships/image" Target="../media/image113.png"/><Relationship Id="rId12" Type="http://schemas.openxmlformats.org/officeDocument/2006/relationships/image" Target="../media/image117.png"/><Relationship Id="rId2" Type="http://schemas.openxmlformats.org/officeDocument/2006/relationships/image" Target="../media/image108.png"/><Relationship Id="rId1" Type="http://schemas.openxmlformats.org/officeDocument/2006/relationships/image" Target="../media/image107.png"/><Relationship Id="rId6" Type="http://schemas.openxmlformats.org/officeDocument/2006/relationships/image" Target="../media/image112.png"/><Relationship Id="rId11" Type="http://schemas.openxmlformats.org/officeDocument/2006/relationships/image" Target="../media/image116.png"/><Relationship Id="rId5" Type="http://schemas.openxmlformats.org/officeDocument/2006/relationships/image" Target="../media/image111.png"/><Relationship Id="rId10" Type="http://schemas.openxmlformats.org/officeDocument/2006/relationships/image" Target="../media/image115.png"/><Relationship Id="rId4" Type="http://schemas.openxmlformats.org/officeDocument/2006/relationships/image" Target="../media/image110.png"/><Relationship Id="rId9" Type="http://schemas.openxmlformats.org/officeDocument/2006/relationships/image" Target="../media/image42.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 Id="rId5" Type="http://schemas.openxmlformats.org/officeDocument/2006/relationships/image" Target="../media/image122.png"/><Relationship Id="rId4" Type="http://schemas.openxmlformats.org/officeDocument/2006/relationships/image" Target="../media/image12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21.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image" Target="../media/image124.png"/><Relationship Id="rId1" Type="http://schemas.openxmlformats.org/officeDocument/2006/relationships/chart" Target="../charts/chart1.xml"/><Relationship Id="rId4" Type="http://schemas.openxmlformats.org/officeDocument/2006/relationships/image" Target="../media/image66.png"/></Relationships>
</file>

<file path=xl/drawings/_rels/drawing22.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image" Target="../media/image12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28.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30.xml.rels><?xml version="1.0" encoding="UTF-8" standalone="yes"?>
<Relationships xmlns="http://schemas.openxmlformats.org/package/2006/relationships"><Relationship Id="rId2" Type="http://schemas.openxmlformats.org/officeDocument/2006/relationships/image" Target="../media/image130.png"/><Relationship Id="rId1" Type="http://schemas.openxmlformats.org/officeDocument/2006/relationships/image" Target="../media/image129.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33.png"/><Relationship Id="rId2" Type="http://schemas.openxmlformats.org/officeDocument/2006/relationships/image" Target="../media/image132.png"/><Relationship Id="rId1" Type="http://schemas.openxmlformats.org/officeDocument/2006/relationships/image" Target="../media/image13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32.png"/><Relationship Id="rId2" Type="http://schemas.openxmlformats.org/officeDocument/2006/relationships/image" Target="../media/image131.png"/><Relationship Id="rId1" Type="http://schemas.openxmlformats.org/officeDocument/2006/relationships/image" Target="../media/image133.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 Id="rId4" Type="http://schemas.openxmlformats.org/officeDocument/2006/relationships/image" Target="../media/image137.png"/></Relationships>
</file>

<file path=xl/drawings/_rels/drawing34.xml.rels><?xml version="1.0" encoding="UTF-8" standalone="yes"?>
<Relationships xmlns="http://schemas.openxmlformats.org/package/2006/relationships"><Relationship Id="rId2" Type="http://schemas.openxmlformats.org/officeDocument/2006/relationships/image" Target="../media/image137.png"/><Relationship Id="rId1" Type="http://schemas.openxmlformats.org/officeDocument/2006/relationships/image" Target="../media/image136.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9.png"/><Relationship Id="rId1" Type="http://schemas.openxmlformats.org/officeDocument/2006/relationships/image" Target="../media/image138.png"/><Relationship Id="rId4" Type="http://schemas.openxmlformats.org/officeDocument/2006/relationships/image" Target="../media/image137.png"/></Relationships>
</file>

<file path=xl/drawings/_rels/drawing37.xml.rels><?xml version="1.0" encoding="UTF-8" standalone="yes"?>
<Relationships xmlns="http://schemas.openxmlformats.org/package/2006/relationships"><Relationship Id="rId2" Type="http://schemas.openxmlformats.org/officeDocument/2006/relationships/image" Target="../media/image141.png"/><Relationship Id="rId1" Type="http://schemas.openxmlformats.org/officeDocument/2006/relationships/image" Target="../media/image140.png"/></Relationships>
</file>

<file path=xl/drawings/_rels/drawing38.xml.rels><?xml version="1.0" encoding="UTF-8" standalone="yes"?>
<Relationships xmlns="http://schemas.openxmlformats.org/package/2006/relationships"><Relationship Id="rId8" Type="http://schemas.openxmlformats.org/officeDocument/2006/relationships/image" Target="../media/image143.png"/><Relationship Id="rId13" Type="http://schemas.openxmlformats.org/officeDocument/2006/relationships/image" Target="../media/image145.png"/><Relationship Id="rId3" Type="http://schemas.openxmlformats.org/officeDocument/2006/relationships/image" Target="../media/image20.png"/><Relationship Id="rId7" Type="http://schemas.openxmlformats.org/officeDocument/2006/relationships/image" Target="../media/image10.png"/><Relationship Id="rId12" Type="http://schemas.openxmlformats.org/officeDocument/2006/relationships/image" Target="../media/image144.png"/><Relationship Id="rId2" Type="http://schemas.openxmlformats.org/officeDocument/2006/relationships/image" Target="../media/image11.png"/><Relationship Id="rId1" Type="http://schemas.openxmlformats.org/officeDocument/2006/relationships/image" Target="../media/image18.png"/><Relationship Id="rId6" Type="http://schemas.openxmlformats.org/officeDocument/2006/relationships/image" Target="../media/image142.png"/><Relationship Id="rId11" Type="http://schemas.openxmlformats.org/officeDocument/2006/relationships/image" Target="../media/image13.png"/><Relationship Id="rId5" Type="http://schemas.openxmlformats.org/officeDocument/2006/relationships/image" Target="../media/image21.png"/><Relationship Id="rId10" Type="http://schemas.openxmlformats.org/officeDocument/2006/relationships/image" Target="../media/image9.png"/><Relationship Id="rId4" Type="http://schemas.openxmlformats.org/officeDocument/2006/relationships/image" Target="../media/image19.png"/><Relationship Id="rId9" Type="http://schemas.openxmlformats.org/officeDocument/2006/relationships/image" Target="../media/image12.png"/></Relationships>
</file>

<file path=xl/drawings/_rels/drawing39.xml.rels><?xml version="1.0" encoding="UTF-8" standalone="yes"?>
<Relationships xmlns="http://schemas.openxmlformats.org/package/2006/relationships"><Relationship Id="rId2" Type="http://schemas.openxmlformats.org/officeDocument/2006/relationships/image" Target="../media/image147.png"/><Relationship Id="rId1" Type="http://schemas.openxmlformats.org/officeDocument/2006/relationships/image" Target="../media/image146.png"/></Relationships>
</file>

<file path=xl/drawings/drawing1.xml><?xml version="1.0" encoding="utf-8"?>
<xdr:wsDr xmlns:xdr="http://schemas.openxmlformats.org/drawingml/2006/spreadsheetDrawing" xmlns:a="http://schemas.openxmlformats.org/drawingml/2006/main">
  <xdr:twoCellAnchor>
    <xdr:from>
      <xdr:col>0</xdr:col>
      <xdr:colOff>176254</xdr:colOff>
      <xdr:row>1</xdr:row>
      <xdr:rowOff>201083</xdr:rowOff>
    </xdr:from>
    <xdr:to>
      <xdr:col>4</xdr:col>
      <xdr:colOff>433916</xdr:colOff>
      <xdr:row>2</xdr:row>
      <xdr:rowOff>185209</xdr:rowOff>
    </xdr:to>
    <xdr:sp macro="" textlink="">
      <xdr:nvSpPr>
        <xdr:cNvPr id="2" name="TextBox 1"/>
        <xdr:cNvSpPr txBox="1"/>
      </xdr:nvSpPr>
      <xdr:spPr>
        <a:xfrm>
          <a:off x="176254" y="423333"/>
          <a:ext cx="2310829" cy="20637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GB" sz="800" i="0">
              <a:solidFill>
                <a:schemeClr val="tx1">
                  <a:lumMod val="50000"/>
                  <a:lumOff val="50000"/>
                </a:schemeClr>
              </a:solidFill>
              <a:latin typeface="+mn-lt"/>
            </a:rPr>
            <a:t>Last update:  October 26th</a:t>
          </a:r>
          <a:r>
            <a:rPr lang="en-GB" sz="800" i="0" baseline="0">
              <a:solidFill>
                <a:schemeClr val="tx1">
                  <a:lumMod val="50000"/>
                  <a:lumOff val="50000"/>
                </a:schemeClr>
              </a:solidFill>
              <a:latin typeface="+mn-lt"/>
            </a:rPr>
            <a:t>, 2018</a:t>
          </a:r>
        </a:p>
        <a:p>
          <a:pPr algn="l"/>
          <a:r>
            <a:rPr lang="en-GB" sz="800" i="0">
              <a:solidFill>
                <a:schemeClr val="tx1">
                  <a:lumMod val="50000"/>
                  <a:lumOff val="50000"/>
                </a:schemeClr>
              </a:solidFill>
              <a:latin typeface="+mn-lt"/>
            </a:rPr>
            <a:t>, 2017</a:t>
          </a:r>
        </a:p>
      </xdr:txBody>
    </xdr:sp>
    <xdr:clientData/>
  </xdr:twoCellAnchor>
  <xdr:twoCellAnchor>
    <xdr:from>
      <xdr:col>1</xdr:col>
      <xdr:colOff>2234</xdr:colOff>
      <xdr:row>18</xdr:row>
      <xdr:rowOff>34623</xdr:rowOff>
    </xdr:from>
    <xdr:to>
      <xdr:col>2</xdr:col>
      <xdr:colOff>230159</xdr:colOff>
      <xdr:row>18</xdr:row>
      <xdr:rowOff>250623</xdr:rowOff>
    </xdr:to>
    <xdr:sp macro="" textlink="">
      <xdr:nvSpPr>
        <xdr:cNvPr id="3" name="TextBox 2"/>
        <xdr:cNvSpPr txBox="1"/>
      </xdr:nvSpPr>
      <xdr:spPr>
        <a:xfrm>
          <a:off x="245651" y="4966456"/>
          <a:ext cx="831175"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=BDP</a:t>
          </a:r>
        </a:p>
      </xdr:txBody>
    </xdr:sp>
    <xdr:clientData/>
  </xdr:twoCellAnchor>
  <xdr:twoCellAnchor>
    <xdr:from>
      <xdr:col>1</xdr:col>
      <xdr:colOff>430101</xdr:colOff>
      <xdr:row>19</xdr:row>
      <xdr:rowOff>33952</xdr:rowOff>
    </xdr:from>
    <xdr:to>
      <xdr:col>4</xdr:col>
      <xdr:colOff>141876</xdr:colOff>
      <xdr:row>19</xdr:row>
      <xdr:rowOff>249952</xdr:rowOff>
    </xdr:to>
    <xdr:sp macro="" textlink="">
      <xdr:nvSpPr>
        <xdr:cNvPr id="4" name="TextBox 3"/>
        <xdr:cNvSpPr txBox="1"/>
      </xdr:nvSpPr>
      <xdr:spPr>
        <a:xfrm>
          <a:off x="677751" y="5234602"/>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Overrides</a:t>
          </a:r>
        </a:p>
      </xdr:txBody>
    </xdr:sp>
    <xdr:clientData/>
  </xdr:twoCellAnchor>
  <xdr:twoCellAnchor>
    <xdr:from>
      <xdr:col>1</xdr:col>
      <xdr:colOff>429814</xdr:colOff>
      <xdr:row>20</xdr:row>
      <xdr:rowOff>40480</xdr:rowOff>
    </xdr:from>
    <xdr:to>
      <xdr:col>4</xdr:col>
      <xdr:colOff>141589</xdr:colOff>
      <xdr:row>20</xdr:row>
      <xdr:rowOff>256480</xdr:rowOff>
    </xdr:to>
    <xdr:sp macro="" textlink="">
      <xdr:nvSpPr>
        <xdr:cNvPr id="5" name="TextBox 4"/>
        <xdr:cNvSpPr txBox="1"/>
      </xdr:nvSpPr>
      <xdr:spPr>
        <a:xfrm>
          <a:off x="677464" y="5526880"/>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Error Substitution</a:t>
          </a:r>
        </a:p>
      </xdr:txBody>
    </xdr:sp>
    <xdr:clientData/>
  </xdr:twoCellAnchor>
  <xdr:twoCellAnchor>
    <xdr:from>
      <xdr:col>1</xdr:col>
      <xdr:colOff>430925</xdr:colOff>
      <xdr:row>21</xdr:row>
      <xdr:rowOff>34527</xdr:rowOff>
    </xdr:from>
    <xdr:to>
      <xdr:col>4</xdr:col>
      <xdr:colOff>142700</xdr:colOff>
      <xdr:row>21</xdr:row>
      <xdr:rowOff>250527</xdr:rowOff>
    </xdr:to>
    <xdr:sp macro="" textlink="">
      <xdr:nvSpPr>
        <xdr:cNvPr id="6" name="TextBox 5"/>
        <xdr:cNvSpPr txBox="1"/>
      </xdr:nvSpPr>
      <xdr:spPr>
        <a:xfrm>
          <a:off x="678575" y="5806677"/>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Update Freq</a:t>
          </a:r>
        </a:p>
      </xdr:txBody>
    </xdr:sp>
    <xdr:clientData/>
  </xdr:twoCellAnchor>
  <xdr:twoCellAnchor>
    <xdr:from>
      <xdr:col>1</xdr:col>
      <xdr:colOff>431004</xdr:colOff>
      <xdr:row>22</xdr:row>
      <xdr:rowOff>41671</xdr:rowOff>
    </xdr:from>
    <xdr:to>
      <xdr:col>4</xdr:col>
      <xdr:colOff>142779</xdr:colOff>
      <xdr:row>22</xdr:row>
      <xdr:rowOff>257671</xdr:rowOff>
    </xdr:to>
    <xdr:sp macro="" textlink="">
      <xdr:nvSpPr>
        <xdr:cNvPr id="7" name="TextBox 6"/>
        <xdr:cNvSpPr txBox="1"/>
      </xdr:nvSpPr>
      <xdr:spPr>
        <a:xfrm>
          <a:off x="678654" y="6099571"/>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Interval</a:t>
          </a:r>
        </a:p>
      </xdr:txBody>
    </xdr:sp>
    <xdr:clientData/>
  </xdr:twoCellAnchor>
  <xdr:twoCellAnchor>
    <xdr:from>
      <xdr:col>1</xdr:col>
      <xdr:colOff>430401</xdr:colOff>
      <xdr:row>23</xdr:row>
      <xdr:rowOff>39289</xdr:rowOff>
    </xdr:from>
    <xdr:to>
      <xdr:col>4</xdr:col>
      <xdr:colOff>142176</xdr:colOff>
      <xdr:row>23</xdr:row>
      <xdr:rowOff>255289</xdr:rowOff>
    </xdr:to>
    <xdr:sp macro="" textlink="">
      <xdr:nvSpPr>
        <xdr:cNvPr id="8" name="TextBox 7"/>
        <xdr:cNvSpPr txBox="1"/>
      </xdr:nvSpPr>
      <xdr:spPr>
        <a:xfrm>
          <a:off x="678051" y="6382939"/>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baseline="0"/>
            <a:t>USA Mortgage Bonds</a:t>
          </a:r>
          <a:endParaRPr lang="en-GB" sz="1100" b="1"/>
        </a:p>
      </xdr:txBody>
    </xdr:sp>
    <xdr:clientData/>
  </xdr:twoCellAnchor>
  <xdr:twoCellAnchor>
    <xdr:from>
      <xdr:col>1</xdr:col>
      <xdr:colOff>429732</xdr:colOff>
      <xdr:row>24</xdr:row>
      <xdr:rowOff>37525</xdr:rowOff>
    </xdr:from>
    <xdr:to>
      <xdr:col>4</xdr:col>
      <xdr:colOff>141507</xdr:colOff>
      <xdr:row>24</xdr:row>
      <xdr:rowOff>253525</xdr:rowOff>
    </xdr:to>
    <xdr:sp macro="" textlink="">
      <xdr:nvSpPr>
        <xdr:cNvPr id="9" name="TextBox 8"/>
        <xdr:cNvSpPr txBox="1"/>
      </xdr:nvSpPr>
      <xdr:spPr>
        <a:xfrm>
          <a:off x="677382" y="6666925"/>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Repos</a:t>
          </a:r>
        </a:p>
      </xdr:txBody>
    </xdr:sp>
    <xdr:clientData/>
  </xdr:twoCellAnchor>
  <xdr:twoCellAnchor>
    <xdr:from>
      <xdr:col>1</xdr:col>
      <xdr:colOff>677</xdr:colOff>
      <xdr:row>33</xdr:row>
      <xdr:rowOff>34006</xdr:rowOff>
    </xdr:from>
    <xdr:to>
      <xdr:col>4</xdr:col>
      <xdr:colOff>144452</xdr:colOff>
      <xdr:row>33</xdr:row>
      <xdr:rowOff>250006</xdr:rowOff>
    </xdr:to>
    <xdr:sp macro="" textlink="">
      <xdr:nvSpPr>
        <xdr:cNvPr id="10" name="TextBox 9"/>
        <xdr:cNvSpPr txBox="1"/>
      </xdr:nvSpPr>
      <xdr:spPr>
        <a:xfrm>
          <a:off x="248327" y="9149431"/>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=BCHAIN</a:t>
          </a:r>
        </a:p>
      </xdr:txBody>
    </xdr:sp>
    <xdr:clientData/>
  </xdr:twoCellAnchor>
  <xdr:twoCellAnchor>
    <xdr:from>
      <xdr:col>1</xdr:col>
      <xdr:colOff>91</xdr:colOff>
      <xdr:row>8</xdr:row>
      <xdr:rowOff>35298</xdr:rowOff>
    </xdr:from>
    <xdr:to>
      <xdr:col>3</xdr:col>
      <xdr:colOff>459554</xdr:colOff>
      <xdr:row>8</xdr:row>
      <xdr:rowOff>251298</xdr:rowOff>
    </xdr:to>
    <xdr:sp macro="" textlink="">
      <xdr:nvSpPr>
        <xdr:cNvPr id="11" name="TextBox 10"/>
        <xdr:cNvSpPr txBox="1"/>
      </xdr:nvSpPr>
      <xdr:spPr>
        <a:xfrm>
          <a:off x="247741" y="2464173"/>
          <a:ext cx="1659613" cy="216000"/>
        </a:xfrm>
        <a:prstGeom prst="rect">
          <a:avLst/>
        </a:prstGeom>
        <a:solidFill>
          <a:srgbClr val="92D05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000"/>
            <a:t>Getting Started</a:t>
          </a:r>
          <a:r>
            <a:rPr lang="en-GB" sz="1000" baseline="0"/>
            <a:t> &amp; Templates</a:t>
          </a:r>
          <a:endParaRPr lang="en-GB" sz="1000"/>
        </a:p>
      </xdr:txBody>
    </xdr:sp>
    <xdr:clientData/>
  </xdr:twoCellAnchor>
  <xdr:twoCellAnchor>
    <xdr:from>
      <xdr:col>1</xdr:col>
      <xdr:colOff>2290</xdr:colOff>
      <xdr:row>9</xdr:row>
      <xdr:rowOff>39480</xdr:rowOff>
    </xdr:from>
    <xdr:to>
      <xdr:col>3</xdr:col>
      <xdr:colOff>457520</xdr:colOff>
      <xdr:row>9</xdr:row>
      <xdr:rowOff>255480</xdr:rowOff>
    </xdr:to>
    <xdr:sp macro="" textlink="">
      <xdr:nvSpPr>
        <xdr:cNvPr id="12" name="TextBox 11"/>
        <xdr:cNvSpPr txBox="1"/>
      </xdr:nvSpPr>
      <xdr:spPr>
        <a:xfrm>
          <a:off x="249940" y="2754105"/>
          <a:ext cx="1655380" cy="216000"/>
        </a:xfrm>
        <a:prstGeom prst="rect">
          <a:avLst/>
        </a:prstGeom>
        <a:solidFill>
          <a:srgbClr val="FF505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Live help &amp; Help Pages</a:t>
          </a:r>
        </a:p>
      </xdr:txBody>
    </xdr:sp>
    <xdr:clientData/>
  </xdr:twoCellAnchor>
  <xdr:twoCellAnchor>
    <xdr:from>
      <xdr:col>1</xdr:col>
      <xdr:colOff>11527</xdr:colOff>
      <xdr:row>7</xdr:row>
      <xdr:rowOff>34151</xdr:rowOff>
    </xdr:from>
    <xdr:to>
      <xdr:col>3</xdr:col>
      <xdr:colOff>466757</xdr:colOff>
      <xdr:row>7</xdr:row>
      <xdr:rowOff>250151</xdr:rowOff>
    </xdr:to>
    <xdr:sp macro="" textlink="">
      <xdr:nvSpPr>
        <xdr:cNvPr id="13" name="TextBox 12"/>
        <xdr:cNvSpPr txBox="1"/>
      </xdr:nvSpPr>
      <xdr:spPr>
        <a:xfrm>
          <a:off x="259177" y="2177276"/>
          <a:ext cx="1655380" cy="216000"/>
        </a:xfrm>
        <a:prstGeom prst="rect">
          <a:avLst/>
        </a:prstGeom>
        <a:solidFill>
          <a:srgbClr val="92D05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Formula Description</a:t>
          </a:r>
        </a:p>
      </xdr:txBody>
    </xdr:sp>
    <xdr:clientData/>
  </xdr:twoCellAnchor>
  <xdr:twoCellAnchor>
    <xdr:from>
      <xdr:col>0</xdr:col>
      <xdr:colOff>244183</xdr:colOff>
      <xdr:row>10</xdr:row>
      <xdr:rowOff>34351</xdr:rowOff>
    </xdr:from>
    <xdr:to>
      <xdr:col>3</xdr:col>
      <xdr:colOff>455996</xdr:colOff>
      <xdr:row>10</xdr:row>
      <xdr:rowOff>250680</xdr:rowOff>
    </xdr:to>
    <xdr:sp macro="" textlink="">
      <xdr:nvSpPr>
        <xdr:cNvPr id="14" name="TextBox 13"/>
        <xdr:cNvSpPr txBox="1"/>
      </xdr:nvSpPr>
      <xdr:spPr>
        <a:xfrm>
          <a:off x="244183" y="3034726"/>
          <a:ext cx="1659613" cy="216329"/>
        </a:xfrm>
        <a:prstGeom prst="rect">
          <a:avLst/>
        </a:prstGeom>
        <a:solidFill>
          <a:schemeClr val="accent6">
            <a:lumMod val="60000"/>
            <a:lumOff val="40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Finding Tickers &amp; Fields</a:t>
          </a:r>
        </a:p>
      </xdr:txBody>
    </xdr:sp>
    <xdr:clientData/>
  </xdr:twoCellAnchor>
  <xdr:twoCellAnchor>
    <xdr:from>
      <xdr:col>0</xdr:col>
      <xdr:colOff>244026</xdr:colOff>
      <xdr:row>11</xdr:row>
      <xdr:rowOff>35511</xdr:rowOff>
    </xdr:from>
    <xdr:to>
      <xdr:col>3</xdr:col>
      <xdr:colOff>455839</xdr:colOff>
      <xdr:row>11</xdr:row>
      <xdr:rowOff>251839</xdr:rowOff>
    </xdr:to>
    <xdr:sp macro="" textlink="">
      <xdr:nvSpPr>
        <xdr:cNvPr id="15" name="TextBox 14"/>
        <xdr:cNvSpPr txBox="1"/>
      </xdr:nvSpPr>
      <xdr:spPr>
        <a:xfrm>
          <a:off x="244026" y="3321636"/>
          <a:ext cx="1659613" cy="216328"/>
        </a:xfrm>
        <a:prstGeom prst="rect">
          <a:avLst/>
        </a:prstGeom>
        <a:solidFill>
          <a:schemeClr val="accent6">
            <a:lumMod val="60000"/>
            <a:lumOff val="40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Drag Drop Securities</a:t>
          </a:r>
        </a:p>
      </xdr:txBody>
    </xdr:sp>
    <xdr:clientData/>
  </xdr:twoCellAnchor>
  <xdr:twoCellAnchor>
    <xdr:from>
      <xdr:col>0</xdr:col>
      <xdr:colOff>244426</xdr:colOff>
      <xdr:row>12</xdr:row>
      <xdr:rowOff>35930</xdr:rowOff>
    </xdr:from>
    <xdr:to>
      <xdr:col>3</xdr:col>
      <xdr:colOff>456239</xdr:colOff>
      <xdr:row>12</xdr:row>
      <xdr:rowOff>251930</xdr:rowOff>
    </xdr:to>
    <xdr:sp macro="" textlink="">
      <xdr:nvSpPr>
        <xdr:cNvPr id="16" name="TextBox 15"/>
        <xdr:cNvSpPr txBox="1"/>
      </xdr:nvSpPr>
      <xdr:spPr>
        <a:xfrm>
          <a:off x="244426" y="3607805"/>
          <a:ext cx="1659613" cy="216000"/>
        </a:xfrm>
        <a:prstGeom prst="rect">
          <a:avLst/>
        </a:prstGeom>
        <a:solidFill>
          <a:schemeClr val="accent6">
            <a:lumMod val="60000"/>
            <a:lumOff val="40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050"/>
            <a:t>Premade Spreadsheets</a:t>
          </a:r>
        </a:p>
      </xdr:txBody>
    </xdr:sp>
    <xdr:clientData/>
  </xdr:twoCellAnchor>
  <xdr:twoCellAnchor>
    <xdr:from>
      <xdr:col>0</xdr:col>
      <xdr:colOff>243856</xdr:colOff>
      <xdr:row>13</xdr:row>
      <xdr:rowOff>41397</xdr:rowOff>
    </xdr:from>
    <xdr:to>
      <xdr:col>3</xdr:col>
      <xdr:colOff>455669</xdr:colOff>
      <xdr:row>13</xdr:row>
      <xdr:rowOff>257397</xdr:rowOff>
    </xdr:to>
    <xdr:sp macro="" textlink="">
      <xdr:nvSpPr>
        <xdr:cNvPr id="17" name="TextBox 16"/>
        <xdr:cNvSpPr txBox="1"/>
      </xdr:nvSpPr>
      <xdr:spPr>
        <a:xfrm>
          <a:off x="243856" y="3899022"/>
          <a:ext cx="1659613" cy="216000"/>
        </a:xfrm>
        <a:prstGeom prst="rect">
          <a:avLst/>
        </a:prstGeom>
        <a:solidFill>
          <a:schemeClr val="bg1">
            <a:lumMod val="85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Tips &amp; Tricks</a:t>
          </a:r>
        </a:p>
      </xdr:txBody>
    </xdr:sp>
    <xdr:clientData/>
  </xdr:twoCellAnchor>
  <xdr:twoCellAnchor>
    <xdr:from>
      <xdr:col>0</xdr:col>
      <xdr:colOff>244791</xdr:colOff>
      <xdr:row>14</xdr:row>
      <xdr:rowOff>33461</xdr:rowOff>
    </xdr:from>
    <xdr:to>
      <xdr:col>3</xdr:col>
      <xdr:colOff>456604</xdr:colOff>
      <xdr:row>14</xdr:row>
      <xdr:rowOff>249461</xdr:rowOff>
    </xdr:to>
    <xdr:sp macro="" textlink="">
      <xdr:nvSpPr>
        <xdr:cNvPr id="18" name="TextBox 17"/>
        <xdr:cNvSpPr txBox="1"/>
      </xdr:nvSpPr>
      <xdr:spPr>
        <a:xfrm>
          <a:off x="244791" y="4176836"/>
          <a:ext cx="1659613" cy="216000"/>
        </a:xfrm>
        <a:prstGeom prst="rect">
          <a:avLst/>
        </a:prstGeom>
        <a:solidFill>
          <a:schemeClr val="tx2">
            <a:lumMod val="20000"/>
            <a:lumOff val="80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Powerpoint w BBG Data</a:t>
          </a:r>
        </a:p>
      </xdr:txBody>
    </xdr:sp>
    <xdr:clientData/>
  </xdr:twoCellAnchor>
  <xdr:twoCellAnchor>
    <xdr:from>
      <xdr:col>1</xdr:col>
      <xdr:colOff>2606</xdr:colOff>
      <xdr:row>34</xdr:row>
      <xdr:rowOff>35320</xdr:rowOff>
    </xdr:from>
    <xdr:to>
      <xdr:col>4</xdr:col>
      <xdr:colOff>146381</xdr:colOff>
      <xdr:row>34</xdr:row>
      <xdr:rowOff>251320</xdr:rowOff>
    </xdr:to>
    <xdr:sp macro="" textlink="">
      <xdr:nvSpPr>
        <xdr:cNvPr id="19" name="TextBox 18"/>
        <xdr:cNvSpPr txBox="1"/>
      </xdr:nvSpPr>
      <xdr:spPr>
        <a:xfrm>
          <a:off x="250256" y="9436495"/>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=BSRCH</a:t>
          </a:r>
        </a:p>
      </xdr:txBody>
    </xdr:sp>
    <xdr:clientData/>
  </xdr:twoCellAnchor>
  <xdr:twoCellAnchor>
    <xdr:from>
      <xdr:col>1</xdr:col>
      <xdr:colOff>1290</xdr:colOff>
      <xdr:row>35</xdr:row>
      <xdr:rowOff>34006</xdr:rowOff>
    </xdr:from>
    <xdr:to>
      <xdr:col>4</xdr:col>
      <xdr:colOff>145065</xdr:colOff>
      <xdr:row>35</xdr:row>
      <xdr:rowOff>250006</xdr:rowOff>
    </xdr:to>
    <xdr:sp macro="" textlink="">
      <xdr:nvSpPr>
        <xdr:cNvPr id="20" name="TextBox 19"/>
        <xdr:cNvSpPr txBox="1"/>
      </xdr:nvSpPr>
      <xdr:spPr>
        <a:xfrm>
          <a:off x="248940" y="9720931"/>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=BINTERPOL</a:t>
          </a:r>
        </a:p>
      </xdr:txBody>
    </xdr:sp>
    <xdr:clientData/>
  </xdr:twoCellAnchor>
  <xdr:twoCellAnchor>
    <xdr:from>
      <xdr:col>1</xdr:col>
      <xdr:colOff>2605</xdr:colOff>
      <xdr:row>36</xdr:row>
      <xdr:rowOff>41231</xdr:rowOff>
    </xdr:from>
    <xdr:to>
      <xdr:col>4</xdr:col>
      <xdr:colOff>146380</xdr:colOff>
      <xdr:row>36</xdr:row>
      <xdr:rowOff>257231</xdr:rowOff>
    </xdr:to>
    <xdr:sp macro="" textlink="">
      <xdr:nvSpPr>
        <xdr:cNvPr id="21" name="TextBox 20"/>
        <xdr:cNvSpPr txBox="1"/>
      </xdr:nvSpPr>
      <xdr:spPr>
        <a:xfrm>
          <a:off x="250255" y="10013906"/>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=BADDPERIODS</a:t>
          </a:r>
        </a:p>
      </xdr:txBody>
    </xdr:sp>
    <xdr:clientData/>
  </xdr:twoCellAnchor>
  <xdr:twoCellAnchor>
    <xdr:from>
      <xdr:col>0</xdr:col>
      <xdr:colOff>247367</xdr:colOff>
      <xdr:row>37</xdr:row>
      <xdr:rowOff>42546</xdr:rowOff>
    </xdr:from>
    <xdr:to>
      <xdr:col>4</xdr:col>
      <xdr:colOff>143492</xdr:colOff>
      <xdr:row>37</xdr:row>
      <xdr:rowOff>258546</xdr:rowOff>
    </xdr:to>
    <xdr:sp macro="" textlink="">
      <xdr:nvSpPr>
        <xdr:cNvPr id="22" name="TextBox 21"/>
        <xdr:cNvSpPr txBox="1"/>
      </xdr:nvSpPr>
      <xdr:spPr>
        <a:xfrm>
          <a:off x="247367" y="10300971"/>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=BCOUNTPERIODS</a:t>
          </a:r>
        </a:p>
      </xdr:txBody>
    </xdr:sp>
    <xdr:clientData/>
  </xdr:twoCellAnchor>
  <xdr:twoCellAnchor>
    <xdr:from>
      <xdr:col>1</xdr:col>
      <xdr:colOff>922</xdr:colOff>
      <xdr:row>38</xdr:row>
      <xdr:rowOff>40903</xdr:rowOff>
    </xdr:from>
    <xdr:to>
      <xdr:col>4</xdr:col>
      <xdr:colOff>144697</xdr:colOff>
      <xdr:row>38</xdr:row>
      <xdr:rowOff>256903</xdr:rowOff>
    </xdr:to>
    <xdr:sp macro="" textlink="">
      <xdr:nvSpPr>
        <xdr:cNvPr id="23" name="TextBox 22"/>
        <xdr:cNvSpPr txBox="1"/>
      </xdr:nvSpPr>
      <xdr:spPr>
        <a:xfrm>
          <a:off x="248572" y="10585078"/>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=BRB</a:t>
          </a:r>
        </a:p>
      </xdr:txBody>
    </xdr:sp>
    <xdr:clientData/>
  </xdr:twoCellAnchor>
  <xdr:twoCellAnchor>
    <xdr:from>
      <xdr:col>1</xdr:col>
      <xdr:colOff>2235</xdr:colOff>
      <xdr:row>39</xdr:row>
      <xdr:rowOff>36406</xdr:rowOff>
    </xdr:from>
    <xdr:to>
      <xdr:col>4</xdr:col>
      <xdr:colOff>146010</xdr:colOff>
      <xdr:row>39</xdr:row>
      <xdr:rowOff>252406</xdr:rowOff>
    </xdr:to>
    <xdr:sp macro="" textlink="">
      <xdr:nvSpPr>
        <xdr:cNvPr id="24" name="TextBox 23"/>
        <xdr:cNvSpPr txBox="1"/>
      </xdr:nvSpPr>
      <xdr:spPr>
        <a:xfrm>
          <a:off x="249885" y="10866331"/>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=BEQS</a:t>
          </a:r>
        </a:p>
      </xdr:txBody>
    </xdr:sp>
    <xdr:clientData/>
  </xdr:twoCellAnchor>
  <xdr:twoCellAnchor>
    <xdr:from>
      <xdr:col>1</xdr:col>
      <xdr:colOff>2607</xdr:colOff>
      <xdr:row>40</xdr:row>
      <xdr:rowOff>35318</xdr:rowOff>
    </xdr:from>
    <xdr:to>
      <xdr:col>4</xdr:col>
      <xdr:colOff>146382</xdr:colOff>
      <xdr:row>40</xdr:row>
      <xdr:rowOff>251318</xdr:rowOff>
    </xdr:to>
    <xdr:sp macro="" textlink="">
      <xdr:nvSpPr>
        <xdr:cNvPr id="25" name="TextBox 24"/>
        <xdr:cNvSpPr txBox="1"/>
      </xdr:nvSpPr>
      <xdr:spPr>
        <a:xfrm>
          <a:off x="250257" y="11150993"/>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=BTP</a:t>
          </a:r>
        </a:p>
      </xdr:txBody>
    </xdr:sp>
    <xdr:clientData/>
  </xdr:twoCellAnchor>
  <xdr:twoCellAnchor>
    <xdr:from>
      <xdr:col>1</xdr:col>
      <xdr:colOff>3</xdr:colOff>
      <xdr:row>42</xdr:row>
      <xdr:rowOff>29004</xdr:rowOff>
    </xdr:from>
    <xdr:to>
      <xdr:col>4</xdr:col>
      <xdr:colOff>143778</xdr:colOff>
      <xdr:row>42</xdr:row>
      <xdr:rowOff>245004</xdr:rowOff>
    </xdr:to>
    <xdr:sp macro="" textlink="">
      <xdr:nvSpPr>
        <xdr:cNvPr id="26" name="TextBox 25"/>
        <xdr:cNvSpPr txBox="1"/>
      </xdr:nvSpPr>
      <xdr:spPr>
        <a:xfrm>
          <a:off x="247653" y="11716179"/>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800"/>
            <a:t>=BCURVE</a:t>
          </a:r>
          <a:r>
            <a:rPr lang="en-GB" sz="800" baseline="0"/>
            <a:t>  =</a:t>
          </a:r>
          <a:r>
            <a:rPr lang="en-GB" sz="800"/>
            <a:t>BCURVESTRIP  =BVIEW</a:t>
          </a:r>
        </a:p>
      </xdr:txBody>
    </xdr:sp>
    <xdr:clientData/>
  </xdr:twoCellAnchor>
  <xdr:twoCellAnchor>
    <xdr:from>
      <xdr:col>1</xdr:col>
      <xdr:colOff>2269</xdr:colOff>
      <xdr:row>47</xdr:row>
      <xdr:rowOff>37300</xdr:rowOff>
    </xdr:from>
    <xdr:to>
      <xdr:col>4</xdr:col>
      <xdr:colOff>146044</xdr:colOff>
      <xdr:row>47</xdr:row>
      <xdr:rowOff>253300</xdr:rowOff>
    </xdr:to>
    <xdr:sp macro="" textlink="">
      <xdr:nvSpPr>
        <xdr:cNvPr id="27" name="TextBox 26"/>
        <xdr:cNvSpPr txBox="1"/>
      </xdr:nvSpPr>
      <xdr:spPr>
        <a:xfrm>
          <a:off x="249919" y="13153225"/>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900"/>
            <a:t>Derivative</a:t>
          </a:r>
          <a:r>
            <a:rPr lang="en-GB" sz="900" baseline="0"/>
            <a:t> Library &amp; Resource center</a:t>
          </a:r>
        </a:p>
      </xdr:txBody>
    </xdr:sp>
    <xdr:clientData/>
  </xdr:twoCellAnchor>
  <xdr:twoCellAnchor>
    <xdr:from>
      <xdr:col>1</xdr:col>
      <xdr:colOff>2228</xdr:colOff>
      <xdr:row>44</xdr:row>
      <xdr:rowOff>35647</xdr:rowOff>
    </xdr:from>
    <xdr:to>
      <xdr:col>4</xdr:col>
      <xdr:colOff>146003</xdr:colOff>
      <xdr:row>44</xdr:row>
      <xdr:rowOff>251647</xdr:rowOff>
    </xdr:to>
    <xdr:sp macro="" textlink="">
      <xdr:nvSpPr>
        <xdr:cNvPr id="28" name="TextBox 27"/>
        <xdr:cNvSpPr txBox="1"/>
      </xdr:nvSpPr>
      <xdr:spPr>
        <a:xfrm>
          <a:off x="249878" y="12294322"/>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=BCURVEFWD</a:t>
          </a:r>
        </a:p>
      </xdr:txBody>
    </xdr:sp>
    <xdr:clientData/>
  </xdr:twoCellAnchor>
  <xdr:twoCellAnchor>
    <xdr:from>
      <xdr:col>1</xdr:col>
      <xdr:colOff>586402</xdr:colOff>
      <xdr:row>43</xdr:row>
      <xdr:rowOff>34003</xdr:rowOff>
    </xdr:from>
    <xdr:to>
      <xdr:col>4</xdr:col>
      <xdr:colOff>144518</xdr:colOff>
      <xdr:row>43</xdr:row>
      <xdr:rowOff>250003</xdr:rowOff>
    </xdr:to>
    <xdr:sp macro="" textlink="">
      <xdr:nvSpPr>
        <xdr:cNvPr id="29" name="TextBox 28"/>
        <xdr:cNvSpPr txBox="1"/>
      </xdr:nvSpPr>
      <xdr:spPr>
        <a:xfrm>
          <a:off x="834052" y="12006928"/>
          <a:ext cx="1358341"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050"/>
            <a:t>Spread</a:t>
          </a:r>
          <a:r>
            <a:rPr lang="en-GB" sz="1050" baseline="0"/>
            <a:t> to Curves</a:t>
          </a:r>
          <a:endParaRPr lang="en-GB" sz="1050"/>
        </a:p>
      </xdr:txBody>
    </xdr:sp>
    <xdr:clientData/>
  </xdr:twoCellAnchor>
  <xdr:twoCellAnchor>
    <xdr:from>
      <xdr:col>0</xdr:col>
      <xdr:colOff>243416</xdr:colOff>
      <xdr:row>48</xdr:row>
      <xdr:rowOff>40676</xdr:rowOff>
    </xdr:from>
    <xdr:to>
      <xdr:col>4</xdr:col>
      <xdr:colOff>143774</xdr:colOff>
      <xdr:row>48</xdr:row>
      <xdr:rowOff>256676</xdr:rowOff>
    </xdr:to>
    <xdr:sp macro="" textlink="">
      <xdr:nvSpPr>
        <xdr:cNvPr id="30" name="TextBox 29"/>
        <xdr:cNvSpPr txBox="1"/>
      </xdr:nvSpPr>
      <xdr:spPr>
        <a:xfrm>
          <a:off x="243416" y="13442351"/>
          <a:ext cx="1948233" cy="216000"/>
        </a:xfrm>
        <a:prstGeom prst="rect">
          <a:avLst/>
        </a:prstGeom>
        <a:solidFill>
          <a:schemeClr val="bg1">
            <a:lumMod val="85000"/>
          </a:schemeClr>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VBA Programming</a:t>
          </a:r>
        </a:p>
      </xdr:txBody>
    </xdr:sp>
    <xdr:clientData/>
  </xdr:twoCellAnchor>
  <xdr:twoCellAnchor>
    <xdr:from>
      <xdr:col>1</xdr:col>
      <xdr:colOff>1630</xdr:colOff>
      <xdr:row>41</xdr:row>
      <xdr:rowOff>39589</xdr:rowOff>
    </xdr:from>
    <xdr:to>
      <xdr:col>4</xdr:col>
      <xdr:colOff>145405</xdr:colOff>
      <xdr:row>41</xdr:row>
      <xdr:rowOff>255589</xdr:rowOff>
    </xdr:to>
    <xdr:sp macro="" textlink="">
      <xdr:nvSpPr>
        <xdr:cNvPr id="31" name="TextBox 30"/>
        <xdr:cNvSpPr txBox="1"/>
      </xdr:nvSpPr>
      <xdr:spPr>
        <a:xfrm>
          <a:off x="249280" y="11441014"/>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=BTH</a:t>
          </a:r>
        </a:p>
      </xdr:txBody>
    </xdr:sp>
    <xdr:clientData/>
  </xdr:twoCellAnchor>
  <xdr:twoCellAnchor>
    <xdr:from>
      <xdr:col>0</xdr:col>
      <xdr:colOff>247255</xdr:colOff>
      <xdr:row>26</xdr:row>
      <xdr:rowOff>35946</xdr:rowOff>
    </xdr:from>
    <xdr:to>
      <xdr:col>2</xdr:col>
      <xdr:colOff>214870</xdr:colOff>
      <xdr:row>26</xdr:row>
      <xdr:rowOff>251946</xdr:rowOff>
    </xdr:to>
    <xdr:sp macro="" textlink="">
      <xdr:nvSpPr>
        <xdr:cNvPr id="32" name="TextBox 31"/>
        <xdr:cNvSpPr txBox="1"/>
      </xdr:nvSpPr>
      <xdr:spPr>
        <a:xfrm>
          <a:off x="247255" y="7236846"/>
          <a:ext cx="81534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=BDH</a:t>
          </a:r>
        </a:p>
      </xdr:txBody>
    </xdr:sp>
    <xdr:clientData/>
  </xdr:twoCellAnchor>
  <xdr:twoCellAnchor>
    <xdr:from>
      <xdr:col>1</xdr:col>
      <xdr:colOff>428418</xdr:colOff>
      <xdr:row>25</xdr:row>
      <xdr:rowOff>39496</xdr:rowOff>
    </xdr:from>
    <xdr:to>
      <xdr:col>4</xdr:col>
      <xdr:colOff>140193</xdr:colOff>
      <xdr:row>25</xdr:row>
      <xdr:rowOff>255496</xdr:rowOff>
    </xdr:to>
    <xdr:sp macro="" textlink="">
      <xdr:nvSpPr>
        <xdr:cNvPr id="33" name="TextBox 32"/>
        <xdr:cNvSpPr txBox="1"/>
      </xdr:nvSpPr>
      <xdr:spPr>
        <a:xfrm>
          <a:off x="676068" y="6954646"/>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800"/>
            <a:t>Import</a:t>
          </a:r>
          <a:r>
            <a:rPr lang="en-GB" sz="800" baseline="0"/>
            <a:t> Data from Contributors</a:t>
          </a:r>
          <a:endParaRPr lang="en-GB" sz="800"/>
        </a:p>
      </xdr:txBody>
    </xdr:sp>
    <xdr:clientData/>
  </xdr:twoCellAnchor>
  <xdr:twoCellAnchor>
    <xdr:from>
      <xdr:col>0</xdr:col>
      <xdr:colOff>247368</xdr:colOff>
      <xdr:row>27</xdr:row>
      <xdr:rowOff>39590</xdr:rowOff>
    </xdr:from>
    <xdr:to>
      <xdr:col>2</xdr:col>
      <xdr:colOff>227643</xdr:colOff>
      <xdr:row>27</xdr:row>
      <xdr:rowOff>255590</xdr:rowOff>
    </xdr:to>
    <xdr:sp macro="" textlink="">
      <xdr:nvSpPr>
        <xdr:cNvPr id="34" name="TextBox 33"/>
        <xdr:cNvSpPr txBox="1"/>
      </xdr:nvSpPr>
      <xdr:spPr>
        <a:xfrm>
          <a:off x="247368" y="7526240"/>
          <a:ext cx="828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=BDS</a:t>
          </a:r>
        </a:p>
      </xdr:txBody>
    </xdr:sp>
    <xdr:clientData/>
  </xdr:twoCellAnchor>
  <xdr:twoCellAnchor>
    <xdr:from>
      <xdr:col>0</xdr:col>
      <xdr:colOff>243414</xdr:colOff>
      <xdr:row>2</xdr:row>
      <xdr:rowOff>179916</xdr:rowOff>
    </xdr:from>
    <xdr:to>
      <xdr:col>18</xdr:col>
      <xdr:colOff>476249</xdr:colOff>
      <xdr:row>5</xdr:row>
      <xdr:rowOff>349249</xdr:rowOff>
    </xdr:to>
    <xdr:sp macro="" textlink="">
      <xdr:nvSpPr>
        <xdr:cNvPr id="35" name="TextBox 34"/>
        <xdr:cNvSpPr txBox="1"/>
      </xdr:nvSpPr>
      <xdr:spPr>
        <a:xfrm>
          <a:off x="243414" y="618066"/>
          <a:ext cx="10586510" cy="1188508"/>
        </a:xfrm>
        <a:prstGeom prst="rect">
          <a:avLst/>
        </a:prstGeom>
        <a:solidFill>
          <a:schemeClr val="lt1"/>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200">
              <a:solidFill>
                <a:schemeClr val="dk1"/>
              </a:solidFill>
              <a:effectLst/>
              <a:latin typeface="+mn-lt"/>
              <a:ea typeface="+mn-ea"/>
              <a:cs typeface="+mn-cs"/>
            </a:rPr>
            <a:t>The Bloomberg Excel Add-in is a powerful complement to the Bloomberg Professional Service. The Excel Add-in empowers users to leverage the same high quality, timely data and calculations they rely on within the Bloomberg Professional to fuel their proprietary spreadsheets.</a:t>
          </a:r>
          <a:r>
            <a:rPr lang="en-GB" sz="1200" baseline="0">
              <a:solidFill>
                <a:schemeClr val="dk1"/>
              </a:solidFill>
              <a:effectLst/>
              <a:latin typeface="+mn-lt"/>
              <a:ea typeface="+mn-ea"/>
              <a:cs typeface="+mn-cs"/>
            </a:rPr>
            <a:t> </a:t>
          </a:r>
          <a:r>
            <a:rPr lang="en-GB" sz="1200">
              <a:solidFill>
                <a:schemeClr val="dk1"/>
              </a:solidFill>
              <a:effectLst/>
              <a:latin typeface="+mn-lt"/>
              <a:ea typeface="+mn-ea"/>
              <a:cs typeface="+mn-cs"/>
            </a:rPr>
            <a:t>Furthermore the Bloomberg Excel Add-in enables you to perform Bloomberg’s financial calculations on a given scenario for single or multiple securities.</a:t>
          </a:r>
          <a:br>
            <a:rPr lang="en-GB" sz="1200">
              <a:solidFill>
                <a:schemeClr val="dk1"/>
              </a:solidFill>
              <a:effectLst/>
              <a:latin typeface="+mn-lt"/>
              <a:ea typeface="+mn-ea"/>
              <a:cs typeface="+mn-cs"/>
            </a:rPr>
          </a:br>
          <a:r>
            <a:rPr lang="en-GB" sz="1600" b="1">
              <a:solidFill>
                <a:schemeClr val="dk1"/>
              </a:solidFill>
              <a:effectLst/>
              <a:latin typeface="+mn-lt"/>
              <a:ea typeface="+mn-ea"/>
              <a:cs typeface="+mn-cs"/>
            </a:rPr>
            <a:t>When downloading Bloomberg Data into Excel it's for the sole use by the license holder and data must remain on the licensed Bloomberg work station. It is not permitted to re-distribute the data outside the Bloomberg workstation</a:t>
          </a:r>
          <a:r>
            <a:rPr lang="en-GB" sz="1100" b="1">
              <a:solidFill>
                <a:schemeClr val="dk1"/>
              </a:solidFill>
              <a:effectLst/>
              <a:latin typeface="+mn-lt"/>
              <a:ea typeface="+mn-ea"/>
              <a:cs typeface="+mn-cs"/>
            </a:rPr>
            <a:t>.</a:t>
          </a:r>
          <a:endParaRPr lang="en-GB" sz="1100">
            <a:solidFill>
              <a:schemeClr val="dk1"/>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GB" sz="1200">
              <a:solidFill>
                <a:schemeClr val="dk1"/>
              </a:solidFill>
              <a:effectLst/>
              <a:latin typeface="+mn-lt"/>
              <a:ea typeface="+mn-ea"/>
              <a:cs typeface="+mn-cs"/>
            </a:rPr>
            <a:t> </a:t>
          </a:r>
          <a:br>
            <a:rPr lang="en-GB" sz="1200">
              <a:solidFill>
                <a:schemeClr val="dk1"/>
              </a:solidFill>
              <a:effectLst/>
              <a:latin typeface="+mn-lt"/>
              <a:ea typeface="+mn-ea"/>
              <a:cs typeface="+mn-cs"/>
            </a:rPr>
          </a:br>
          <a:endParaRPr lang="en-GB" sz="1100"/>
        </a:p>
      </xdr:txBody>
    </xdr:sp>
    <xdr:clientData/>
  </xdr:twoCellAnchor>
  <xdr:twoCellAnchor>
    <xdr:from>
      <xdr:col>0</xdr:col>
      <xdr:colOff>243416</xdr:colOff>
      <xdr:row>46</xdr:row>
      <xdr:rowOff>38108</xdr:rowOff>
    </xdr:from>
    <xdr:to>
      <xdr:col>4</xdr:col>
      <xdr:colOff>143774</xdr:colOff>
      <xdr:row>46</xdr:row>
      <xdr:rowOff>254108</xdr:rowOff>
    </xdr:to>
    <xdr:sp macro="" textlink="">
      <xdr:nvSpPr>
        <xdr:cNvPr id="36" name="TextBox 35"/>
        <xdr:cNvSpPr txBox="1"/>
      </xdr:nvSpPr>
      <xdr:spPr>
        <a:xfrm>
          <a:off x="243416" y="12868283"/>
          <a:ext cx="1948233"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=BQR</a:t>
          </a:r>
          <a:r>
            <a:rPr lang="en-GB" sz="1100" baseline="0"/>
            <a:t> =</a:t>
          </a:r>
          <a:r>
            <a:rPr lang="en-GB" sz="1100"/>
            <a:t>BQRP</a:t>
          </a:r>
        </a:p>
      </xdr:txBody>
    </xdr:sp>
    <xdr:clientData/>
  </xdr:twoCellAnchor>
  <xdr:twoCellAnchor>
    <xdr:from>
      <xdr:col>0</xdr:col>
      <xdr:colOff>0</xdr:colOff>
      <xdr:row>0</xdr:row>
      <xdr:rowOff>0</xdr:rowOff>
    </xdr:from>
    <xdr:to>
      <xdr:col>30</xdr:col>
      <xdr:colOff>378750</xdr:colOff>
      <xdr:row>1</xdr:row>
      <xdr:rowOff>137750</xdr:rowOff>
    </xdr:to>
    <xdr:sp macro="" textlink="">
      <xdr:nvSpPr>
        <xdr:cNvPr id="37" name="com_bar"/>
        <xdr:cNvSpPr>
          <a:spLocks noChangeArrowheads="1"/>
        </xdr:cNvSpPr>
      </xdr:nvSpPr>
      <xdr:spPr bwMode="auto">
        <a:xfrm>
          <a:off x="0" y="0"/>
          <a:ext cx="17933325" cy="356825"/>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Content</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432651</xdr:colOff>
      <xdr:row>28</xdr:row>
      <xdr:rowOff>40558</xdr:rowOff>
    </xdr:from>
    <xdr:to>
      <xdr:col>4</xdr:col>
      <xdr:colOff>144426</xdr:colOff>
      <xdr:row>28</xdr:row>
      <xdr:rowOff>256558</xdr:rowOff>
    </xdr:to>
    <xdr:sp macro="" textlink="">
      <xdr:nvSpPr>
        <xdr:cNvPr id="38" name="TextBox 37"/>
        <xdr:cNvSpPr txBox="1"/>
      </xdr:nvSpPr>
      <xdr:spPr>
        <a:xfrm>
          <a:off x="680301" y="7812958"/>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Yield</a:t>
          </a:r>
          <a:r>
            <a:rPr lang="en-GB" sz="1100" baseline="0"/>
            <a:t> Curves</a:t>
          </a:r>
          <a:endParaRPr lang="en-GB" sz="1100"/>
        </a:p>
      </xdr:txBody>
    </xdr:sp>
    <xdr:clientData/>
  </xdr:twoCellAnchor>
  <xdr:twoCellAnchor>
    <xdr:from>
      <xdr:col>1</xdr:col>
      <xdr:colOff>447471</xdr:colOff>
      <xdr:row>29</xdr:row>
      <xdr:rowOff>44787</xdr:rowOff>
    </xdr:from>
    <xdr:to>
      <xdr:col>4</xdr:col>
      <xdr:colOff>159246</xdr:colOff>
      <xdr:row>29</xdr:row>
      <xdr:rowOff>260787</xdr:rowOff>
    </xdr:to>
    <xdr:sp macro="" textlink="">
      <xdr:nvSpPr>
        <xdr:cNvPr id="39" name="TextBox 38"/>
        <xdr:cNvSpPr txBox="1"/>
      </xdr:nvSpPr>
      <xdr:spPr>
        <a:xfrm>
          <a:off x="695121" y="8102937"/>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baseline="0"/>
            <a:t>Swap &amp; Zero Curves</a:t>
          </a:r>
          <a:endParaRPr lang="en-GB" sz="1100"/>
        </a:p>
      </xdr:txBody>
    </xdr:sp>
    <xdr:clientData/>
  </xdr:twoCellAnchor>
  <xdr:twoCellAnchor>
    <xdr:from>
      <xdr:col>1</xdr:col>
      <xdr:colOff>451707</xdr:colOff>
      <xdr:row>30</xdr:row>
      <xdr:rowOff>49017</xdr:rowOff>
    </xdr:from>
    <xdr:to>
      <xdr:col>4</xdr:col>
      <xdr:colOff>163482</xdr:colOff>
      <xdr:row>30</xdr:row>
      <xdr:rowOff>265017</xdr:rowOff>
    </xdr:to>
    <xdr:sp macro="" textlink="">
      <xdr:nvSpPr>
        <xdr:cNvPr id="40" name="TextBox 39"/>
        <xdr:cNvSpPr txBox="1"/>
      </xdr:nvSpPr>
      <xdr:spPr>
        <a:xfrm>
          <a:off x="699357" y="8392917"/>
          <a:ext cx="1512000" cy="216000"/>
        </a:xfrm>
        <a:prstGeom prst="rect">
          <a:avLst/>
        </a:prstGeom>
        <a:solidFill>
          <a:srgbClr val="FFFFCC"/>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baseline="0"/>
            <a:t>Supply Chain</a:t>
          </a:r>
          <a:endParaRPr lang="en-GB" sz="1100"/>
        </a:p>
      </xdr:txBody>
    </xdr:sp>
    <xdr:clientData/>
  </xdr:twoCellAnchor>
  <xdr:twoCellAnchor>
    <xdr:from>
      <xdr:col>1</xdr:col>
      <xdr:colOff>6461</xdr:colOff>
      <xdr:row>45</xdr:row>
      <xdr:rowOff>38817</xdr:rowOff>
    </xdr:from>
    <xdr:to>
      <xdr:col>4</xdr:col>
      <xdr:colOff>150236</xdr:colOff>
      <xdr:row>45</xdr:row>
      <xdr:rowOff>254817</xdr:rowOff>
    </xdr:to>
    <xdr:sp macro="" textlink="">
      <xdr:nvSpPr>
        <xdr:cNvPr id="41" name="TextBox 40"/>
        <xdr:cNvSpPr txBox="1"/>
      </xdr:nvSpPr>
      <xdr:spPr>
        <a:xfrm>
          <a:off x="254111" y="12583242"/>
          <a:ext cx="1944000"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=BMATRIX</a:t>
          </a:r>
        </a:p>
      </xdr:txBody>
    </xdr:sp>
    <xdr:clientData/>
  </xdr:twoCellAnchor>
  <xdr:twoCellAnchor>
    <xdr:from>
      <xdr:col>0</xdr:col>
      <xdr:colOff>243416</xdr:colOff>
      <xdr:row>16</xdr:row>
      <xdr:rowOff>285747</xdr:rowOff>
    </xdr:from>
    <xdr:to>
      <xdr:col>2</xdr:col>
      <xdr:colOff>227924</xdr:colOff>
      <xdr:row>17</xdr:row>
      <xdr:rowOff>215997</xdr:rowOff>
    </xdr:to>
    <xdr:sp macro="" textlink="">
      <xdr:nvSpPr>
        <xdr:cNvPr id="43" name="TextBox 42"/>
        <xdr:cNvSpPr txBox="1"/>
      </xdr:nvSpPr>
      <xdr:spPr>
        <a:xfrm>
          <a:off x="243416" y="4931830"/>
          <a:ext cx="831175" cy="216000"/>
        </a:xfrm>
        <a:prstGeom prst="rect">
          <a:avLst/>
        </a:prstGeom>
        <a:solidFill>
          <a:srgbClr val="FFFF00"/>
        </a:solidFill>
        <a:ln w="317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100"/>
            <a:t>=BQL</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34</xdr:col>
      <xdr:colOff>285752</xdr:colOff>
      <xdr:row>7</xdr:row>
      <xdr:rowOff>9525</xdr:rowOff>
    </xdr:from>
    <xdr:to>
      <xdr:col>35</xdr:col>
      <xdr:colOff>533402</xdr:colOff>
      <xdr:row>7</xdr:row>
      <xdr:rowOff>171450</xdr:rowOff>
    </xdr:to>
    <xdr:sp macro="" textlink="">
      <xdr:nvSpPr>
        <xdr:cNvPr id="13" name="Rectangle 12"/>
        <xdr:cNvSpPr/>
      </xdr:nvSpPr>
      <xdr:spPr bwMode="auto">
        <a:xfrm>
          <a:off x="10715627" y="6934200"/>
          <a:ext cx="914400" cy="161925"/>
        </a:xfrm>
        <a:prstGeom prst="rect">
          <a:avLst/>
        </a:prstGeom>
        <a:noFill/>
        <a:ln w="3175">
          <a:no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495300</xdr:colOff>
      <xdr:row>14</xdr:row>
      <xdr:rowOff>9525</xdr:rowOff>
    </xdr:from>
    <xdr:to>
      <xdr:col>18</xdr:col>
      <xdr:colOff>552450</xdr:colOff>
      <xdr:row>61</xdr:row>
      <xdr:rowOff>47625</xdr:rowOff>
    </xdr:to>
    <xdr:grpSp>
      <xdr:nvGrpSpPr>
        <xdr:cNvPr id="4799844" name="Group 14"/>
        <xdr:cNvGrpSpPr>
          <a:grpSpLocks/>
        </xdr:cNvGrpSpPr>
      </xdr:nvGrpSpPr>
      <xdr:grpSpPr bwMode="auto">
        <a:xfrm>
          <a:off x="738717" y="2814108"/>
          <a:ext cx="10312400" cy="8991600"/>
          <a:chOff x="8652315" y="8797440"/>
          <a:chExt cx="10563940" cy="8906071"/>
        </a:xfrm>
      </xdr:grpSpPr>
      <xdr:sp macro="" textlink="">
        <xdr:nvSpPr>
          <xdr:cNvPr id="57" name="Rectangle 56"/>
          <xdr:cNvSpPr/>
        </xdr:nvSpPr>
        <xdr:spPr bwMode="auto">
          <a:xfrm>
            <a:off x="19010273" y="9599364"/>
            <a:ext cx="176556" cy="7641862"/>
          </a:xfrm>
          <a:prstGeom prst="rect">
            <a:avLst/>
          </a:prstGeom>
          <a:solidFill>
            <a:schemeClr val="bg1"/>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58" name="Rectangle 57"/>
          <xdr:cNvSpPr/>
        </xdr:nvSpPr>
        <xdr:spPr>
          <a:xfrm>
            <a:off x="8652315" y="8797440"/>
            <a:ext cx="10563940" cy="8906071"/>
          </a:xfrm>
          <a:prstGeom prst="rect">
            <a:avLst/>
          </a:prstGeom>
          <a:no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0</xdr:col>
      <xdr:colOff>0</xdr:colOff>
      <xdr:row>0</xdr:row>
      <xdr:rowOff>0</xdr:rowOff>
    </xdr:from>
    <xdr:to>
      <xdr:col>30</xdr:col>
      <xdr:colOff>198833</xdr:colOff>
      <xdr:row>1</xdr:row>
      <xdr:rowOff>137750</xdr:rowOff>
    </xdr:to>
    <xdr:sp macro="" textlink="">
      <xdr:nvSpPr>
        <xdr:cNvPr id="89"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ea typeface="+mn-ea"/>
              <a:cs typeface="+mn-cs"/>
            </a:rPr>
            <a:t>Bloomberg's Excel Functions and Description</a:t>
          </a:r>
        </a:p>
      </xdr:txBody>
    </xdr:sp>
    <xdr:clientData/>
  </xdr:twoCellAnchor>
  <xdr:twoCellAnchor>
    <xdr:from>
      <xdr:col>1</xdr:col>
      <xdr:colOff>38100</xdr:colOff>
      <xdr:row>5</xdr:row>
      <xdr:rowOff>19050</xdr:rowOff>
    </xdr:from>
    <xdr:to>
      <xdr:col>19</xdr:col>
      <xdr:colOff>285750</xdr:colOff>
      <xdr:row>63</xdr:row>
      <xdr:rowOff>161925</xdr:rowOff>
    </xdr:to>
    <xdr:grpSp>
      <xdr:nvGrpSpPr>
        <xdr:cNvPr id="4799846" name="Group 9"/>
        <xdr:cNvGrpSpPr>
          <a:grpSpLocks/>
        </xdr:cNvGrpSpPr>
      </xdr:nvGrpSpPr>
      <xdr:grpSpPr bwMode="auto">
        <a:xfrm>
          <a:off x="281517" y="1109133"/>
          <a:ext cx="11169650" cy="11191875"/>
          <a:chOff x="285750" y="11715750"/>
          <a:chExt cx="10744200" cy="10563227"/>
        </a:xfrm>
      </xdr:grpSpPr>
      <xdr:grpSp>
        <xdr:nvGrpSpPr>
          <xdr:cNvPr id="4799850" name="Group 25"/>
          <xdr:cNvGrpSpPr>
            <a:grpSpLocks/>
          </xdr:cNvGrpSpPr>
        </xdr:nvGrpSpPr>
        <xdr:grpSpPr bwMode="auto">
          <a:xfrm>
            <a:off x="285750" y="11715750"/>
            <a:ext cx="10725151" cy="10563227"/>
            <a:chOff x="9886949" y="3552827"/>
            <a:chExt cx="10879567" cy="10234479"/>
          </a:xfrm>
        </xdr:grpSpPr>
        <xdr:grpSp>
          <xdr:nvGrpSpPr>
            <xdr:cNvPr id="4799862" name="Group 33"/>
            <xdr:cNvGrpSpPr>
              <a:grpSpLocks/>
            </xdr:cNvGrpSpPr>
          </xdr:nvGrpSpPr>
          <xdr:grpSpPr bwMode="auto">
            <a:xfrm>
              <a:off x="9886949" y="3552827"/>
              <a:ext cx="9772769" cy="3553504"/>
              <a:chOff x="233362" y="11087100"/>
              <a:chExt cx="14888204" cy="4356198"/>
            </a:xfrm>
          </xdr:grpSpPr>
          <xdr:pic>
            <xdr:nvPicPr>
              <xdr:cNvPr id="49" name="Picture 41"/>
              <xdr:cNvPicPr>
                <a:picLocks noChangeAspect="1"/>
              </xdr:cNvPicPr>
            </xdr:nvPicPr>
            <xdr:blipFill>
              <a:blip xmlns:r="http://schemas.openxmlformats.org/officeDocument/2006/relationships" r:embed="rId1"/>
              <a:srcRect/>
              <a:stretch>
                <a:fillRect/>
              </a:stretch>
            </xdr:blipFill>
            <xdr:spPr bwMode="auto">
              <a:xfrm>
                <a:off x="233362" y="11087100"/>
                <a:ext cx="14882223" cy="4356511"/>
              </a:xfrm>
              <a:prstGeom prst="rect">
                <a:avLst/>
              </a:prstGeom>
              <a:noFill/>
              <a:ln w="3175">
                <a:solidFill>
                  <a:schemeClr val="bg1">
                    <a:lumMod val="65000"/>
                  </a:schemeClr>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sp macro="" textlink="">
            <xdr:nvSpPr>
              <xdr:cNvPr id="50" name="Rectangle 49"/>
              <xdr:cNvSpPr/>
            </xdr:nvSpPr>
            <xdr:spPr>
              <a:xfrm>
                <a:off x="8087078" y="11354043"/>
                <a:ext cx="1123992" cy="245588"/>
              </a:xfrm>
              <a:prstGeom prst="rect">
                <a:avLst/>
              </a:prstGeom>
              <a:noFill/>
              <a:ln w="19050">
                <a:solidFill>
                  <a:srgbClr val="FF0000"/>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nvGrpSpPr>
            <xdr:cNvPr id="4799863" name="Group 14"/>
            <xdr:cNvGrpSpPr>
              <a:grpSpLocks/>
            </xdr:cNvGrpSpPr>
          </xdr:nvGrpSpPr>
          <xdr:grpSpPr bwMode="auto">
            <a:xfrm>
              <a:off x="10306128" y="5075541"/>
              <a:ext cx="10460388" cy="8711765"/>
              <a:chOff x="8652315" y="8797440"/>
              <a:chExt cx="10563940" cy="8906071"/>
            </a:xfrm>
          </xdr:grpSpPr>
          <xdr:sp macro="" textlink="">
            <xdr:nvSpPr>
              <xdr:cNvPr id="47" name="Rectangle 46"/>
              <xdr:cNvSpPr/>
            </xdr:nvSpPr>
            <xdr:spPr bwMode="auto">
              <a:xfrm>
                <a:off x="18933956" y="9600447"/>
                <a:ext cx="254656" cy="7488656"/>
              </a:xfrm>
              <a:prstGeom prst="rect">
                <a:avLst/>
              </a:prstGeom>
              <a:solidFill>
                <a:schemeClr val="bg1"/>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48" name="Rectangle 47"/>
              <xdr:cNvSpPr/>
            </xdr:nvSpPr>
            <xdr:spPr>
              <a:xfrm>
                <a:off x="8653412" y="8799045"/>
                <a:ext cx="10563494" cy="8904466"/>
              </a:xfrm>
              <a:prstGeom prst="rect">
                <a:avLst/>
              </a:prstGeom>
              <a:no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grpSp>
        <xdr:nvGrpSpPr>
          <xdr:cNvPr id="4799851" name="Group 59"/>
          <xdr:cNvGrpSpPr>
            <a:grpSpLocks/>
          </xdr:cNvGrpSpPr>
        </xdr:nvGrpSpPr>
        <xdr:grpSpPr bwMode="auto">
          <a:xfrm>
            <a:off x="700845" y="13125450"/>
            <a:ext cx="10329105" cy="8734428"/>
            <a:chOff x="3276828" y="5461000"/>
            <a:chExt cx="10329105" cy="8734428"/>
          </a:xfrm>
        </xdr:grpSpPr>
        <xdr:grpSp>
          <xdr:nvGrpSpPr>
            <xdr:cNvPr id="4799852" name="Group 60"/>
            <xdr:cNvGrpSpPr>
              <a:grpSpLocks/>
            </xdr:cNvGrpSpPr>
          </xdr:nvGrpSpPr>
          <xdr:grpSpPr bwMode="auto">
            <a:xfrm>
              <a:off x="3280833" y="5461000"/>
              <a:ext cx="10325014" cy="8734428"/>
              <a:chOff x="2076450" y="571500"/>
              <a:chExt cx="10325014" cy="8734428"/>
            </a:xfrm>
          </xdr:grpSpPr>
          <xdr:grpSp>
            <xdr:nvGrpSpPr>
              <xdr:cNvPr id="4799854" name="Group 77"/>
              <xdr:cNvGrpSpPr>
                <a:grpSpLocks/>
              </xdr:cNvGrpSpPr>
            </xdr:nvGrpSpPr>
            <xdr:grpSpPr bwMode="auto">
              <a:xfrm>
                <a:off x="2076450" y="571500"/>
                <a:ext cx="10323809" cy="8734098"/>
                <a:chOff x="2076450" y="571500"/>
                <a:chExt cx="10323809" cy="8734098"/>
              </a:xfrm>
            </xdr:grpSpPr>
            <xdr:grpSp>
              <xdr:nvGrpSpPr>
                <xdr:cNvPr id="4799856" name="Group 79"/>
                <xdr:cNvGrpSpPr>
                  <a:grpSpLocks/>
                </xdr:cNvGrpSpPr>
              </xdr:nvGrpSpPr>
              <xdr:grpSpPr bwMode="auto">
                <a:xfrm>
                  <a:off x="2076450" y="571500"/>
                  <a:ext cx="10323809" cy="8734098"/>
                  <a:chOff x="2076450" y="571500"/>
                  <a:chExt cx="10323809" cy="8734098"/>
                </a:xfrm>
              </xdr:grpSpPr>
              <xdr:pic>
                <xdr:nvPicPr>
                  <xdr:cNvPr id="4799858" name="Picture 8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76450" y="571500"/>
                    <a:ext cx="10323809" cy="7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799859" name="Picture 8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085975" y="1295400"/>
                    <a:ext cx="10047619" cy="2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799860" name="Picture 84"/>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85975" y="3990975"/>
                    <a:ext cx="10057143" cy="2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799861" name="Picture 85"/>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85975" y="6686550"/>
                    <a:ext cx="10047619" cy="2619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799857" name="Picture 80"/>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1153775" y="7981950"/>
                  <a:ext cx="980952" cy="20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799855" name="Picture 78"/>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962622" y="1299470"/>
                <a:ext cx="438842" cy="8006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35" name="Rectangle 34"/>
            <xdr:cNvSpPr/>
          </xdr:nvSpPr>
          <xdr:spPr>
            <a:xfrm>
              <a:off x="3276033" y="5462727"/>
              <a:ext cx="10329900" cy="8657351"/>
            </a:xfrm>
            <a:prstGeom prst="rect">
              <a:avLst/>
            </a:prstGeom>
            <a:noFill/>
            <a:ln w="6350">
              <a:solidFill>
                <a:schemeClr val="bg1">
                  <a:lumMod val="6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clientData/>
  </xdr:twoCellAnchor>
  <xdr:twoCellAnchor>
    <xdr:from>
      <xdr:col>1</xdr:col>
      <xdr:colOff>382312</xdr:colOff>
      <xdr:row>7</xdr:row>
      <xdr:rowOff>95251</xdr:rowOff>
    </xdr:from>
    <xdr:to>
      <xdr:col>2</xdr:col>
      <xdr:colOff>232834</xdr:colOff>
      <xdr:row>10</xdr:row>
      <xdr:rowOff>137403</xdr:rowOff>
    </xdr:to>
    <xdr:sp macro="" textlink="">
      <xdr:nvSpPr>
        <xdr:cNvPr id="29" name="Rectangle 28"/>
        <xdr:cNvSpPr/>
      </xdr:nvSpPr>
      <xdr:spPr bwMode="auto">
        <a:xfrm>
          <a:off x="625729" y="1566334"/>
          <a:ext cx="453772" cy="613652"/>
        </a:xfrm>
        <a:prstGeom prst="rect">
          <a:avLst/>
        </a:prstGeom>
        <a:noFill/>
        <a:ln w="19050">
          <a:solidFill>
            <a:srgbClr val="FF0000"/>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313192</xdr:colOff>
      <xdr:row>10</xdr:row>
      <xdr:rowOff>188334</xdr:rowOff>
    </xdr:from>
    <xdr:to>
      <xdr:col>1</xdr:col>
      <xdr:colOff>594083</xdr:colOff>
      <xdr:row>11</xdr:row>
      <xdr:rowOff>98705</xdr:rowOff>
    </xdr:to>
    <xdr:sp macro="" textlink="">
      <xdr:nvSpPr>
        <xdr:cNvPr id="30" name="Rectangle 29"/>
        <xdr:cNvSpPr/>
      </xdr:nvSpPr>
      <xdr:spPr bwMode="auto">
        <a:xfrm>
          <a:off x="556609" y="2230917"/>
          <a:ext cx="280891" cy="100871"/>
        </a:xfrm>
        <a:prstGeom prst="rect">
          <a:avLst/>
        </a:prstGeom>
        <a:solidFill>
          <a:schemeClr val="bg1"/>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463670</xdr:colOff>
      <xdr:row>10</xdr:row>
      <xdr:rowOff>146498</xdr:rowOff>
    </xdr:from>
    <xdr:to>
      <xdr:col>2</xdr:col>
      <xdr:colOff>171406</xdr:colOff>
      <xdr:row>12</xdr:row>
      <xdr:rowOff>137587</xdr:rowOff>
    </xdr:to>
    <xdr:sp macro="" textlink="">
      <xdr:nvSpPr>
        <xdr:cNvPr id="31" name="Right Arrow 30"/>
        <xdr:cNvSpPr/>
      </xdr:nvSpPr>
      <xdr:spPr bwMode="auto">
        <a:xfrm rot="5400000">
          <a:off x="676535" y="2219633"/>
          <a:ext cx="372089" cy="310986"/>
        </a:xfrm>
        <a:prstGeom prst="rightArrow">
          <a:avLst/>
        </a:prstGeom>
        <a:solidFill>
          <a:srgbClr val="FF000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10</xdr:col>
      <xdr:colOff>200025</xdr:colOff>
      <xdr:row>107</xdr:row>
      <xdr:rowOff>57150</xdr:rowOff>
    </xdr:from>
    <xdr:to>
      <xdr:col>14</xdr:col>
      <xdr:colOff>19050</xdr:colOff>
      <xdr:row>131</xdr:row>
      <xdr:rowOff>57150</xdr:rowOff>
    </xdr:to>
    <xdr:pic>
      <xdr:nvPicPr>
        <xdr:cNvPr id="3735074" name="Picture 23"/>
        <xdr:cNvPicPr>
          <a:picLocks noChangeAspect="1"/>
        </xdr:cNvPicPr>
      </xdr:nvPicPr>
      <xdr:blipFill>
        <a:blip xmlns:r="http://schemas.openxmlformats.org/officeDocument/2006/relationships" r:embed="rId1"/>
        <a:srcRect/>
        <a:stretch>
          <a:fillRect/>
        </a:stretch>
      </xdr:blipFill>
      <xdr:spPr bwMode="auto">
        <a:xfrm>
          <a:off x="6000750" y="16059150"/>
          <a:ext cx="2257425" cy="45720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552450</xdr:colOff>
      <xdr:row>110</xdr:row>
      <xdr:rowOff>0</xdr:rowOff>
    </xdr:from>
    <xdr:to>
      <xdr:col>8</xdr:col>
      <xdr:colOff>361950</xdr:colOff>
      <xdr:row>124</xdr:row>
      <xdr:rowOff>28575</xdr:rowOff>
    </xdr:to>
    <xdr:pic>
      <xdr:nvPicPr>
        <xdr:cNvPr id="3735075" name="Picture 25"/>
        <xdr:cNvPicPr>
          <a:picLocks noChangeAspect="1"/>
        </xdr:cNvPicPr>
      </xdr:nvPicPr>
      <xdr:blipFill>
        <a:blip xmlns:r="http://schemas.openxmlformats.org/officeDocument/2006/relationships" r:embed="rId2"/>
        <a:srcRect/>
        <a:stretch>
          <a:fillRect/>
        </a:stretch>
      </xdr:blipFill>
      <xdr:spPr bwMode="auto">
        <a:xfrm>
          <a:off x="2695575" y="16573500"/>
          <a:ext cx="2247900" cy="26955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87841</xdr:colOff>
      <xdr:row>81</xdr:row>
      <xdr:rowOff>104775</xdr:rowOff>
    </xdr:from>
    <xdr:to>
      <xdr:col>14</xdr:col>
      <xdr:colOff>164041</xdr:colOff>
      <xdr:row>105</xdr:row>
      <xdr:rowOff>114300</xdr:rowOff>
    </xdr:to>
    <xdr:pic>
      <xdr:nvPicPr>
        <xdr:cNvPr id="3735076" name="Picture 16"/>
        <xdr:cNvPicPr>
          <a:picLocks noChangeAspect="1"/>
        </xdr:cNvPicPr>
      </xdr:nvPicPr>
      <xdr:blipFill>
        <a:blip xmlns:r="http://schemas.openxmlformats.org/officeDocument/2006/relationships" r:embed="rId3"/>
        <a:srcRect/>
        <a:stretch>
          <a:fillRect/>
        </a:stretch>
      </xdr:blipFill>
      <xdr:spPr bwMode="auto">
        <a:xfrm>
          <a:off x="945091" y="15852775"/>
          <a:ext cx="7442200" cy="45815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29</xdr:col>
      <xdr:colOff>569250</xdr:colOff>
      <xdr:row>1</xdr:row>
      <xdr:rowOff>169500</xdr:rowOff>
    </xdr:to>
    <xdr:sp macro="" textlink="">
      <xdr:nvSpPr>
        <xdr:cNvPr id="8"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ea typeface="+mn-ea"/>
              <a:cs typeface="+mn-cs"/>
            </a:rPr>
            <a:t>Getting started, Pre-made templates to download and our Derivative Library</a:t>
          </a:r>
        </a:p>
      </xdr:txBody>
    </xdr:sp>
    <xdr:clientData/>
  </xdr:twoCellAnchor>
  <xdr:twoCellAnchor>
    <xdr:from>
      <xdr:col>18</xdr:col>
      <xdr:colOff>285750</xdr:colOff>
      <xdr:row>186</xdr:row>
      <xdr:rowOff>142875</xdr:rowOff>
    </xdr:from>
    <xdr:to>
      <xdr:col>27</xdr:col>
      <xdr:colOff>390525</xdr:colOff>
      <xdr:row>202</xdr:row>
      <xdr:rowOff>180975</xdr:rowOff>
    </xdr:to>
    <xdr:pic>
      <xdr:nvPicPr>
        <xdr:cNvPr id="4846900" name="Picture 4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896600" y="35909250"/>
          <a:ext cx="5591175" cy="308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409575</xdr:colOff>
      <xdr:row>134</xdr:row>
      <xdr:rowOff>57150</xdr:rowOff>
    </xdr:from>
    <xdr:to>
      <xdr:col>8</xdr:col>
      <xdr:colOff>390525</xdr:colOff>
      <xdr:row>146</xdr:row>
      <xdr:rowOff>28575</xdr:rowOff>
    </xdr:to>
    <xdr:pic>
      <xdr:nvPicPr>
        <xdr:cNvPr id="3735080" name="Picture 22"/>
        <xdr:cNvPicPr>
          <a:picLocks noChangeAspect="1"/>
        </xdr:cNvPicPr>
      </xdr:nvPicPr>
      <xdr:blipFill>
        <a:blip xmlns:r="http://schemas.openxmlformats.org/officeDocument/2006/relationships" r:embed="rId5"/>
        <a:srcRect/>
        <a:stretch>
          <a:fillRect/>
        </a:stretch>
      </xdr:blipFill>
      <xdr:spPr bwMode="auto">
        <a:xfrm>
          <a:off x="3162300" y="21202650"/>
          <a:ext cx="1809750" cy="22574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104775</xdr:colOff>
      <xdr:row>124</xdr:row>
      <xdr:rowOff>104775</xdr:rowOff>
    </xdr:from>
    <xdr:to>
      <xdr:col>4</xdr:col>
      <xdr:colOff>504825</xdr:colOff>
      <xdr:row>135</xdr:row>
      <xdr:rowOff>114300</xdr:rowOff>
    </xdr:to>
    <xdr:pic>
      <xdr:nvPicPr>
        <xdr:cNvPr id="3735081" name="Picture 26"/>
        <xdr:cNvPicPr>
          <a:picLocks noChangeAspect="1"/>
        </xdr:cNvPicPr>
      </xdr:nvPicPr>
      <xdr:blipFill>
        <a:blip xmlns:r="http://schemas.openxmlformats.org/officeDocument/2006/relationships" r:embed="rId6"/>
        <a:srcRect/>
        <a:stretch>
          <a:fillRect/>
        </a:stretch>
      </xdr:blipFill>
      <xdr:spPr bwMode="auto">
        <a:xfrm>
          <a:off x="419100" y="19345275"/>
          <a:ext cx="2228850" cy="21050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564218</xdr:colOff>
      <xdr:row>134</xdr:row>
      <xdr:rowOff>152398</xdr:rowOff>
    </xdr:from>
    <xdr:to>
      <xdr:col>5</xdr:col>
      <xdr:colOff>319101</xdr:colOff>
      <xdr:row>134</xdr:row>
      <xdr:rowOff>152398</xdr:rowOff>
    </xdr:to>
    <xdr:cxnSp macro="">
      <xdr:nvCxnSpPr>
        <xdr:cNvPr id="31" name="Straight Arrow Connector 30"/>
        <xdr:cNvCxnSpPr/>
      </xdr:nvCxnSpPr>
      <xdr:spPr bwMode="auto">
        <a:xfrm rot="16200000">
          <a:off x="2873336" y="22417780"/>
          <a:ext cx="0" cy="360000"/>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84</xdr:row>
      <xdr:rowOff>133349</xdr:rowOff>
    </xdr:from>
    <xdr:to>
      <xdr:col>13</xdr:col>
      <xdr:colOff>571500</xdr:colOff>
      <xdr:row>104</xdr:row>
      <xdr:rowOff>142874</xdr:rowOff>
    </xdr:to>
    <xdr:sp macro="" textlink="">
      <xdr:nvSpPr>
        <xdr:cNvPr id="87" name="Rectangle 86"/>
        <xdr:cNvSpPr/>
      </xdr:nvSpPr>
      <xdr:spPr bwMode="auto">
        <a:xfrm>
          <a:off x="3333750" y="13049249"/>
          <a:ext cx="4791075" cy="3819525"/>
        </a:xfrm>
        <a:prstGeom prst="rect">
          <a:avLst/>
        </a:prstGeom>
        <a:noFill/>
        <a:ln w="19050">
          <a:solidFill>
            <a:schemeClr val="bg1">
              <a:lumMod val="75000"/>
            </a:schemeClr>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editAs="oneCell">
    <xdr:from>
      <xdr:col>0</xdr:col>
      <xdr:colOff>200025</xdr:colOff>
      <xdr:row>147</xdr:row>
      <xdr:rowOff>66675</xdr:rowOff>
    </xdr:from>
    <xdr:to>
      <xdr:col>7</xdr:col>
      <xdr:colOff>112183</xdr:colOff>
      <xdr:row>161</xdr:row>
      <xdr:rowOff>28575</xdr:rowOff>
    </xdr:to>
    <xdr:pic>
      <xdr:nvPicPr>
        <xdr:cNvPr id="3735084" name="Picture 3169379"/>
        <xdr:cNvPicPr>
          <a:picLocks noChangeAspect="1"/>
        </xdr:cNvPicPr>
      </xdr:nvPicPr>
      <xdr:blipFill>
        <a:blip xmlns:r="http://schemas.openxmlformats.org/officeDocument/2006/relationships" r:embed="rId7"/>
        <a:srcRect/>
        <a:stretch>
          <a:fillRect/>
        </a:stretch>
      </xdr:blipFill>
      <xdr:spPr bwMode="auto">
        <a:xfrm>
          <a:off x="200025" y="23688675"/>
          <a:ext cx="3810000" cy="26289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128</xdr:row>
      <xdr:rowOff>66675</xdr:rowOff>
    </xdr:from>
    <xdr:to>
      <xdr:col>1</xdr:col>
      <xdr:colOff>447675</xdr:colOff>
      <xdr:row>147</xdr:row>
      <xdr:rowOff>47625</xdr:rowOff>
    </xdr:to>
    <xdr:grpSp>
      <xdr:nvGrpSpPr>
        <xdr:cNvPr id="4846906" name="Group 3169382"/>
        <xdr:cNvGrpSpPr>
          <a:grpSpLocks/>
        </xdr:cNvGrpSpPr>
      </xdr:nvGrpSpPr>
      <xdr:grpSpPr bwMode="auto">
        <a:xfrm>
          <a:off x="462492" y="24789342"/>
          <a:ext cx="228600" cy="3600450"/>
          <a:chOff x="456198" y="21205658"/>
          <a:chExt cx="235618" cy="3601386"/>
        </a:xfrm>
      </xdr:grpSpPr>
      <xdr:cxnSp macro="">
        <xdr:nvCxnSpPr>
          <xdr:cNvPr id="95" name="Straight Arrow Connector 94"/>
          <xdr:cNvCxnSpPr/>
        </xdr:nvCxnSpPr>
        <xdr:spPr bwMode="auto">
          <a:xfrm>
            <a:off x="456198" y="21205658"/>
            <a:ext cx="9817" cy="3601386"/>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7" name="Straight Arrow Connector 96"/>
          <xdr:cNvCxnSpPr/>
        </xdr:nvCxnSpPr>
        <xdr:spPr bwMode="auto">
          <a:xfrm flipH="1">
            <a:off x="456198" y="21205658"/>
            <a:ext cx="235618" cy="9527"/>
          </a:xfrm>
          <a:prstGeom prst="straightConnector1">
            <a:avLst/>
          </a:prstGeom>
          <a:ln w="190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6</xdr:col>
      <xdr:colOff>352425</xdr:colOff>
      <xdr:row>136</xdr:row>
      <xdr:rowOff>19050</xdr:rowOff>
    </xdr:from>
    <xdr:to>
      <xdr:col>9</xdr:col>
      <xdr:colOff>180975</xdr:colOff>
      <xdr:row>148</xdr:row>
      <xdr:rowOff>38100</xdr:rowOff>
    </xdr:to>
    <xdr:grpSp>
      <xdr:nvGrpSpPr>
        <xdr:cNvPr id="4846907" name="Group 106"/>
        <xdr:cNvGrpSpPr>
          <a:grpSpLocks/>
        </xdr:cNvGrpSpPr>
      </xdr:nvGrpSpPr>
      <xdr:grpSpPr bwMode="auto">
        <a:xfrm flipH="1">
          <a:off x="3665008" y="26265717"/>
          <a:ext cx="1670050" cy="2305050"/>
          <a:chOff x="457703" y="21176378"/>
          <a:chExt cx="592139" cy="3548317"/>
        </a:xfrm>
      </xdr:grpSpPr>
      <xdr:cxnSp macro="">
        <xdr:nvCxnSpPr>
          <xdr:cNvPr id="108" name="Straight Arrow Connector 107"/>
          <xdr:cNvCxnSpPr/>
        </xdr:nvCxnSpPr>
        <xdr:spPr bwMode="auto">
          <a:xfrm flipH="1">
            <a:off x="457703" y="21176378"/>
            <a:ext cx="0" cy="3548317"/>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09" name="Straight Arrow Connector 108"/>
          <xdr:cNvCxnSpPr/>
        </xdr:nvCxnSpPr>
        <xdr:spPr bwMode="auto">
          <a:xfrm flipH="1">
            <a:off x="457703" y="21176378"/>
            <a:ext cx="592139" cy="0"/>
          </a:xfrm>
          <a:prstGeom prst="straightConnector1">
            <a:avLst/>
          </a:prstGeom>
          <a:ln w="190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3</xdr:col>
      <xdr:colOff>257175</xdr:colOff>
      <xdr:row>120</xdr:row>
      <xdr:rowOff>9525</xdr:rowOff>
    </xdr:from>
    <xdr:to>
      <xdr:col>5</xdr:col>
      <xdr:colOff>190500</xdr:colOff>
      <xdr:row>125</xdr:row>
      <xdr:rowOff>76200</xdr:rowOff>
    </xdr:to>
    <xdr:grpSp>
      <xdr:nvGrpSpPr>
        <xdr:cNvPr id="4846908" name="Group 109"/>
        <xdr:cNvGrpSpPr>
          <a:grpSpLocks/>
        </xdr:cNvGrpSpPr>
      </xdr:nvGrpSpPr>
      <xdr:grpSpPr bwMode="auto">
        <a:xfrm>
          <a:off x="1728258" y="23208192"/>
          <a:ext cx="1160992" cy="1019175"/>
          <a:chOff x="455530" y="21205658"/>
          <a:chExt cx="236286" cy="3497323"/>
        </a:xfrm>
      </xdr:grpSpPr>
      <xdr:cxnSp macro="">
        <xdr:nvCxnSpPr>
          <xdr:cNvPr id="111" name="Straight Arrow Connector 110"/>
          <xdr:cNvCxnSpPr/>
        </xdr:nvCxnSpPr>
        <xdr:spPr bwMode="auto">
          <a:xfrm flipH="1">
            <a:off x="455530" y="21205658"/>
            <a:ext cx="0" cy="3497323"/>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13" name="Straight Arrow Connector 112"/>
          <xdr:cNvCxnSpPr/>
        </xdr:nvCxnSpPr>
        <xdr:spPr bwMode="auto">
          <a:xfrm flipH="1">
            <a:off x="455530" y="21205658"/>
            <a:ext cx="236286" cy="0"/>
          </a:xfrm>
          <a:prstGeom prst="straightConnector1">
            <a:avLst/>
          </a:prstGeom>
          <a:ln w="190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xdr:col>
      <xdr:colOff>42486</xdr:colOff>
      <xdr:row>30</xdr:row>
      <xdr:rowOff>11492</xdr:rowOff>
    </xdr:from>
    <xdr:to>
      <xdr:col>13</xdr:col>
      <xdr:colOff>500689</xdr:colOff>
      <xdr:row>54</xdr:row>
      <xdr:rowOff>21017</xdr:rowOff>
    </xdr:to>
    <xdr:pic>
      <xdr:nvPicPr>
        <xdr:cNvPr id="3735089" name="Picture 8"/>
        <xdr:cNvPicPr>
          <a:picLocks noChangeAspect="1"/>
        </xdr:cNvPicPr>
      </xdr:nvPicPr>
      <xdr:blipFill>
        <a:blip xmlns:r="http://schemas.openxmlformats.org/officeDocument/2006/relationships" r:embed="rId8"/>
        <a:srcRect/>
        <a:stretch>
          <a:fillRect/>
        </a:stretch>
      </xdr:blipFill>
      <xdr:spPr bwMode="auto">
        <a:xfrm>
          <a:off x="285903" y="5938159"/>
          <a:ext cx="7824203" cy="45815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209551</xdr:colOff>
      <xdr:row>66</xdr:row>
      <xdr:rowOff>154114</xdr:rowOff>
    </xdr:from>
    <xdr:to>
      <xdr:col>7</xdr:col>
      <xdr:colOff>32845</xdr:colOff>
      <xdr:row>67</xdr:row>
      <xdr:rowOff>179614</xdr:rowOff>
    </xdr:to>
    <xdr:sp macro="" textlink="">
      <xdr:nvSpPr>
        <xdr:cNvPr id="16" name="TextBox 15"/>
        <xdr:cNvSpPr txBox="1"/>
      </xdr:nvSpPr>
      <xdr:spPr>
        <a:xfrm>
          <a:off x="1680634" y="13044614"/>
          <a:ext cx="2278628" cy="2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t>Click on for example "Swaps</a:t>
          </a:r>
          <a:r>
            <a:rPr lang="en-GB" sz="1100" baseline="0"/>
            <a:t> Toolkit"</a:t>
          </a:r>
          <a:endParaRPr lang="en-GB" sz="1100"/>
        </a:p>
      </xdr:txBody>
    </xdr:sp>
    <xdr:clientData/>
  </xdr:twoCellAnchor>
  <xdr:twoCellAnchor>
    <xdr:from>
      <xdr:col>8</xdr:col>
      <xdr:colOff>288543</xdr:colOff>
      <xdr:row>83</xdr:row>
      <xdr:rowOff>10604</xdr:rowOff>
    </xdr:from>
    <xdr:to>
      <xdr:col>11</xdr:col>
      <xdr:colOff>424289</xdr:colOff>
      <xdr:row>84</xdr:row>
      <xdr:rowOff>36104</xdr:rowOff>
    </xdr:to>
    <xdr:sp macro="" textlink="">
      <xdr:nvSpPr>
        <xdr:cNvPr id="86" name="TextBox 85"/>
        <xdr:cNvSpPr txBox="1"/>
      </xdr:nvSpPr>
      <xdr:spPr>
        <a:xfrm>
          <a:off x="4902876" y="11430021"/>
          <a:ext cx="1977246" cy="216000"/>
        </a:xfrm>
        <a:prstGeom prst="rect">
          <a:avLst/>
        </a:prstGeom>
        <a:solidFill>
          <a:schemeClr val="lt1"/>
        </a:solidFill>
        <a:ln w="9525" cmpd="sng">
          <a:solidFill>
            <a:schemeClr val="lt1">
              <a:shade val="50000"/>
            </a:schemeClr>
          </a:solid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solidFill>
                <a:sysClr val="windowText" lastClr="000000"/>
              </a:solidFill>
            </a:rPr>
            <a:t>Click on "</a:t>
          </a:r>
          <a:r>
            <a:rPr lang="en-GB" sz="1100">
              <a:solidFill>
                <a:schemeClr val="tx2">
                  <a:lumMod val="60000"/>
                  <a:lumOff val="40000"/>
                </a:schemeClr>
              </a:solidFill>
            </a:rPr>
            <a:t>API Swaps Toolkit</a:t>
          </a:r>
          <a:r>
            <a:rPr lang="en-GB" sz="1100">
              <a:solidFill>
                <a:sysClr val="windowText" lastClr="000000"/>
              </a:solidFill>
            </a:rPr>
            <a:t>"</a:t>
          </a:r>
        </a:p>
      </xdr:txBody>
    </xdr:sp>
    <xdr:clientData/>
  </xdr:twoCellAnchor>
  <xdr:twoCellAnchor>
    <xdr:from>
      <xdr:col>14</xdr:col>
      <xdr:colOff>600075</xdr:colOff>
      <xdr:row>108</xdr:row>
      <xdr:rowOff>66675</xdr:rowOff>
    </xdr:from>
    <xdr:to>
      <xdr:col>17</xdr:col>
      <xdr:colOff>593835</xdr:colOff>
      <xdr:row>109</xdr:row>
      <xdr:rowOff>71798</xdr:rowOff>
    </xdr:to>
    <xdr:sp macro="" textlink="">
      <xdr:nvSpPr>
        <xdr:cNvPr id="73" name="Rectangle 72"/>
        <xdr:cNvSpPr/>
      </xdr:nvSpPr>
      <xdr:spPr bwMode="auto">
        <a:xfrm>
          <a:off x="8839200" y="17564100"/>
          <a:ext cx="1822560" cy="195623"/>
        </a:xfrm>
        <a:prstGeom prst="rect">
          <a:avLst/>
        </a:prstGeom>
        <a:noFill/>
        <a:ln w="19050">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13</xdr:col>
      <xdr:colOff>561975</xdr:colOff>
      <xdr:row>85</xdr:row>
      <xdr:rowOff>47625</xdr:rowOff>
    </xdr:from>
    <xdr:to>
      <xdr:col>17</xdr:col>
      <xdr:colOff>542925</xdr:colOff>
      <xdr:row>105</xdr:row>
      <xdr:rowOff>47625</xdr:rowOff>
    </xdr:to>
    <xdr:grpSp>
      <xdr:nvGrpSpPr>
        <xdr:cNvPr id="4846913" name="Group 27"/>
        <xdr:cNvGrpSpPr>
          <a:grpSpLocks/>
        </xdr:cNvGrpSpPr>
      </xdr:nvGrpSpPr>
      <xdr:grpSpPr bwMode="auto">
        <a:xfrm>
          <a:off x="8171392" y="16568208"/>
          <a:ext cx="2436283" cy="3810000"/>
          <a:chOff x="8048625" y="13592175"/>
          <a:chExt cx="1978248" cy="3491999"/>
        </a:xfrm>
      </xdr:grpSpPr>
      <xdr:cxnSp macro="">
        <xdr:nvCxnSpPr>
          <xdr:cNvPr id="81" name="Straight Connector 80"/>
          <xdr:cNvCxnSpPr/>
        </xdr:nvCxnSpPr>
        <xdr:spPr bwMode="auto">
          <a:xfrm flipV="1">
            <a:off x="8048625" y="13600905"/>
            <a:ext cx="1970460" cy="8730"/>
          </a:xfrm>
          <a:prstGeom prst="line">
            <a:avLst/>
          </a:prstGeom>
          <a:ln w="190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82" name="Straight Arrow Connector 81"/>
          <xdr:cNvCxnSpPr/>
        </xdr:nvCxnSpPr>
        <xdr:spPr bwMode="auto">
          <a:xfrm>
            <a:off x="10019085" y="13592175"/>
            <a:ext cx="7788" cy="3491999"/>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14</xdr:col>
      <xdr:colOff>501058</xdr:colOff>
      <xdr:row>105</xdr:row>
      <xdr:rowOff>164974</xdr:rowOff>
    </xdr:from>
    <xdr:to>
      <xdr:col>31</xdr:col>
      <xdr:colOff>148901</xdr:colOff>
      <xdr:row>106</xdr:row>
      <xdr:rowOff>190474</xdr:rowOff>
    </xdr:to>
    <xdr:sp macro="" textlink="">
      <xdr:nvSpPr>
        <xdr:cNvPr id="88" name="TextBox 87"/>
        <xdr:cNvSpPr txBox="1"/>
      </xdr:nvSpPr>
      <xdr:spPr>
        <a:xfrm>
          <a:off x="8798391" y="15775391"/>
          <a:ext cx="10083010" cy="216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a:solidFill>
                <a:sysClr val="windowText" lastClr="000000"/>
              </a:solidFill>
            </a:rPr>
            <a:t>API Swaps toolkit home page below (scroll</a:t>
          </a:r>
          <a:r>
            <a:rPr lang="en-GB" sz="1100" baseline="0">
              <a:solidFill>
                <a:sysClr val="windowText" lastClr="000000"/>
              </a:solidFill>
            </a:rPr>
            <a:t> down to see page illustarted below</a:t>
          </a:r>
          <a:r>
            <a:rPr lang="en-GB" sz="1100">
              <a:solidFill>
                <a:sysClr val="windowText" lastClr="000000"/>
              </a:solidFill>
            </a:rPr>
            <a:t>.</a:t>
          </a:r>
          <a:r>
            <a:rPr lang="en-GB" sz="1100" baseline="0">
              <a:solidFill>
                <a:sysClr val="windowText" lastClr="000000"/>
              </a:solidFill>
            </a:rPr>
            <a:t> If you wish to discover more then click  on</a:t>
          </a:r>
          <a:r>
            <a:rPr lang="en-GB" sz="1100">
              <a:solidFill>
                <a:sysClr val="windowText" lastClr="000000"/>
              </a:solidFill>
            </a:rPr>
            <a:t> "</a:t>
          </a:r>
          <a:r>
            <a:rPr lang="en-GB" sz="1100">
              <a:solidFill>
                <a:srgbClr val="0070C0"/>
              </a:solidFill>
            </a:rPr>
            <a:t>Resource Center Main Page</a:t>
          </a:r>
          <a:r>
            <a:rPr lang="en-GB" sz="1100">
              <a:solidFill>
                <a:sysClr val="windowText" lastClr="000000"/>
              </a:solidFill>
            </a:rPr>
            <a:t>"</a:t>
          </a:r>
          <a:r>
            <a:rPr lang="en-GB" sz="1100" baseline="0">
              <a:solidFill>
                <a:sysClr val="windowText" lastClr="000000"/>
              </a:solidFill>
            </a:rPr>
            <a:t> as seen</a:t>
          </a:r>
          <a:r>
            <a:rPr lang="en-GB" sz="1100">
              <a:solidFill>
                <a:srgbClr val="0070C0"/>
              </a:solidFill>
            </a:rPr>
            <a:t> </a:t>
          </a:r>
          <a:r>
            <a:rPr lang="en-GB" sz="1100">
              <a:solidFill>
                <a:sysClr val="windowText" lastClr="000000"/>
              </a:solidFill>
            </a:rPr>
            <a:t>below</a:t>
          </a:r>
        </a:p>
      </xdr:txBody>
    </xdr:sp>
    <xdr:clientData/>
  </xdr:twoCellAnchor>
  <xdr:twoCellAnchor>
    <xdr:from>
      <xdr:col>23</xdr:col>
      <xdr:colOff>12006</xdr:colOff>
      <xdr:row>109</xdr:row>
      <xdr:rowOff>32818</xdr:rowOff>
    </xdr:from>
    <xdr:to>
      <xdr:col>27</xdr:col>
      <xdr:colOff>358587</xdr:colOff>
      <xdr:row>110</xdr:row>
      <xdr:rowOff>168890</xdr:rowOff>
    </xdr:to>
    <xdr:sp macro="" textlink="">
      <xdr:nvSpPr>
        <xdr:cNvPr id="18" name="TextBox 17"/>
        <xdr:cNvSpPr txBox="1"/>
      </xdr:nvSpPr>
      <xdr:spPr>
        <a:xfrm>
          <a:off x="13638359" y="17715700"/>
          <a:ext cx="2767052" cy="3265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To see the particular</a:t>
          </a:r>
          <a:r>
            <a:rPr lang="en-GB" sz="1100" baseline="0"/>
            <a:t> page please</a:t>
          </a:r>
          <a:r>
            <a:rPr lang="en-GB" sz="1100"/>
            <a:t> scroll down</a:t>
          </a:r>
        </a:p>
      </xdr:txBody>
    </xdr:sp>
    <xdr:clientData/>
  </xdr:twoCellAnchor>
  <xdr:twoCellAnchor>
    <xdr:from>
      <xdr:col>7</xdr:col>
      <xdr:colOff>224119</xdr:colOff>
      <xdr:row>110</xdr:row>
      <xdr:rowOff>100853</xdr:rowOff>
    </xdr:from>
    <xdr:to>
      <xdr:col>10</xdr:col>
      <xdr:colOff>369794</xdr:colOff>
      <xdr:row>115</xdr:row>
      <xdr:rowOff>156883</xdr:rowOff>
    </xdr:to>
    <xdr:cxnSp macro="">
      <xdr:nvCxnSpPr>
        <xdr:cNvPr id="20" name="Elbow Connector 19"/>
        <xdr:cNvCxnSpPr/>
      </xdr:nvCxnSpPr>
      <xdr:spPr>
        <a:xfrm rot="10800000">
          <a:off x="4168590" y="17974235"/>
          <a:ext cx="1961028" cy="1008530"/>
        </a:xfrm>
        <a:prstGeom prst="bentConnector3">
          <a:avLst>
            <a:gd name="adj1" fmla="val 41429"/>
          </a:avLst>
        </a:prstGeom>
        <a:ln w="19050">
          <a:solidFill>
            <a:schemeClr val="bg1">
              <a:lumMod val="7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56995</xdr:colOff>
      <xdr:row>108</xdr:row>
      <xdr:rowOff>179297</xdr:rowOff>
    </xdr:from>
    <xdr:to>
      <xdr:col>14</xdr:col>
      <xdr:colOff>539128</xdr:colOff>
      <xdr:row>108</xdr:row>
      <xdr:rowOff>189098</xdr:rowOff>
    </xdr:to>
    <xdr:cxnSp macro="">
      <xdr:nvCxnSpPr>
        <xdr:cNvPr id="100" name="Straight Arrow Connector 99"/>
        <xdr:cNvCxnSpPr/>
      </xdr:nvCxnSpPr>
      <xdr:spPr bwMode="auto">
        <a:xfrm flipH="1">
          <a:off x="8354328" y="16371797"/>
          <a:ext cx="482133" cy="9801"/>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9</xdr:col>
      <xdr:colOff>28575</xdr:colOff>
      <xdr:row>148</xdr:row>
      <xdr:rowOff>104775</xdr:rowOff>
    </xdr:from>
    <xdr:to>
      <xdr:col>15</xdr:col>
      <xdr:colOff>57150</xdr:colOff>
      <xdr:row>162</xdr:row>
      <xdr:rowOff>57150</xdr:rowOff>
    </xdr:to>
    <xdr:pic>
      <xdr:nvPicPr>
        <xdr:cNvPr id="3735099" name="Picture 21"/>
        <xdr:cNvPicPr>
          <a:picLocks noChangeAspect="1"/>
        </xdr:cNvPicPr>
      </xdr:nvPicPr>
      <xdr:blipFill>
        <a:blip xmlns:r="http://schemas.openxmlformats.org/officeDocument/2006/relationships" r:embed="rId9"/>
        <a:srcRect/>
        <a:stretch>
          <a:fillRect/>
        </a:stretch>
      </xdr:blipFill>
      <xdr:spPr bwMode="auto">
        <a:xfrm>
          <a:off x="5219700" y="23917275"/>
          <a:ext cx="3686175" cy="26193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247650</xdr:colOff>
      <xdr:row>156</xdr:row>
      <xdr:rowOff>57150</xdr:rowOff>
    </xdr:from>
    <xdr:to>
      <xdr:col>16</xdr:col>
      <xdr:colOff>276225</xdr:colOff>
      <xdr:row>170</xdr:row>
      <xdr:rowOff>19050</xdr:rowOff>
    </xdr:to>
    <xdr:pic>
      <xdr:nvPicPr>
        <xdr:cNvPr id="3735100" name="Picture 23"/>
        <xdr:cNvPicPr>
          <a:picLocks noChangeAspect="1"/>
        </xdr:cNvPicPr>
      </xdr:nvPicPr>
      <xdr:blipFill>
        <a:blip xmlns:r="http://schemas.openxmlformats.org/officeDocument/2006/relationships" r:embed="rId10"/>
        <a:srcRect/>
        <a:stretch>
          <a:fillRect/>
        </a:stretch>
      </xdr:blipFill>
      <xdr:spPr bwMode="auto">
        <a:xfrm>
          <a:off x="6048375" y="25393650"/>
          <a:ext cx="3686175" cy="26289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285750</xdr:colOff>
      <xdr:row>153</xdr:row>
      <xdr:rowOff>28575</xdr:rowOff>
    </xdr:from>
    <xdr:to>
      <xdr:col>13</xdr:col>
      <xdr:colOff>123825</xdr:colOff>
      <xdr:row>159</xdr:row>
      <xdr:rowOff>28575</xdr:rowOff>
    </xdr:to>
    <xdr:grpSp>
      <xdr:nvGrpSpPr>
        <xdr:cNvPr id="4846920" name="Group 106"/>
        <xdr:cNvGrpSpPr>
          <a:grpSpLocks/>
        </xdr:cNvGrpSpPr>
      </xdr:nvGrpSpPr>
      <xdr:grpSpPr bwMode="auto">
        <a:xfrm flipH="1">
          <a:off x="6053667" y="29513742"/>
          <a:ext cx="1679575" cy="1143000"/>
          <a:chOff x="457703" y="21176378"/>
          <a:chExt cx="592139" cy="3548317"/>
        </a:xfrm>
      </xdr:grpSpPr>
      <xdr:cxnSp macro="">
        <xdr:nvCxnSpPr>
          <xdr:cNvPr id="89" name="Straight Arrow Connector 88"/>
          <xdr:cNvCxnSpPr/>
        </xdr:nvCxnSpPr>
        <xdr:spPr bwMode="auto">
          <a:xfrm flipH="1">
            <a:off x="457703" y="21176378"/>
            <a:ext cx="0" cy="3548317"/>
          </a:xfrm>
          <a:prstGeom prst="straightConnector1">
            <a:avLst/>
          </a:prstGeom>
          <a:ln w="190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0" name="Straight Arrow Connector 89"/>
          <xdr:cNvCxnSpPr/>
        </xdr:nvCxnSpPr>
        <xdr:spPr bwMode="auto">
          <a:xfrm flipH="1">
            <a:off x="457703" y="21176378"/>
            <a:ext cx="592139" cy="0"/>
          </a:xfrm>
          <a:prstGeom prst="straightConnector1">
            <a:avLst/>
          </a:prstGeom>
          <a:ln w="190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57150</xdr:colOff>
      <xdr:row>56</xdr:row>
      <xdr:rowOff>28575</xdr:rowOff>
    </xdr:from>
    <xdr:to>
      <xdr:col>13</xdr:col>
      <xdr:colOff>523875</xdr:colOff>
      <xdr:row>80</xdr:row>
      <xdr:rowOff>38100</xdr:rowOff>
    </xdr:to>
    <xdr:grpSp>
      <xdr:nvGrpSpPr>
        <xdr:cNvPr id="4846921" name="Group 8"/>
        <xdr:cNvGrpSpPr>
          <a:grpSpLocks/>
        </xdr:cNvGrpSpPr>
      </xdr:nvGrpSpPr>
      <xdr:grpSpPr bwMode="auto">
        <a:xfrm>
          <a:off x="300567" y="11024658"/>
          <a:ext cx="7832725" cy="4581525"/>
          <a:chOff x="2619311" y="7607300"/>
          <a:chExt cx="7303450" cy="4580665"/>
        </a:xfrm>
        <a:effectLst>
          <a:outerShdw blurRad="50800" dist="38100" dir="2700000" algn="tl" rotWithShape="0">
            <a:prstClr val="black">
              <a:alpha val="40000"/>
            </a:prstClr>
          </a:outerShdw>
        </a:effectLst>
      </xdr:grpSpPr>
      <xdr:pic>
        <xdr:nvPicPr>
          <xdr:cNvPr id="4846957" name="Picture 1"/>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19311" y="7607300"/>
            <a:ext cx="7303450" cy="458066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sp macro="" textlink="">
        <xdr:nvSpPr>
          <xdr:cNvPr id="52" name="Rectangle 51"/>
          <xdr:cNvSpPr/>
        </xdr:nvSpPr>
        <xdr:spPr bwMode="auto">
          <a:xfrm>
            <a:off x="2699765" y="9435757"/>
            <a:ext cx="1144237" cy="180941"/>
          </a:xfrm>
          <a:prstGeom prst="rect">
            <a:avLst/>
          </a:prstGeom>
          <a:noFill/>
          <a:ln w="19050">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14</xdr:col>
      <xdr:colOff>590550</xdr:colOff>
      <xdr:row>107</xdr:row>
      <xdr:rowOff>0</xdr:rowOff>
    </xdr:from>
    <xdr:to>
      <xdr:col>28</xdr:col>
      <xdr:colOff>190500</xdr:colOff>
      <xdr:row>202</xdr:row>
      <xdr:rowOff>47625</xdr:rowOff>
    </xdr:to>
    <xdr:grpSp>
      <xdr:nvGrpSpPr>
        <xdr:cNvPr id="4846922" name="Group 23"/>
        <xdr:cNvGrpSpPr>
          <a:grpSpLocks/>
        </xdr:cNvGrpSpPr>
      </xdr:nvGrpSpPr>
      <xdr:grpSpPr bwMode="auto">
        <a:xfrm>
          <a:off x="8813800" y="20722167"/>
          <a:ext cx="8193617" cy="18145125"/>
          <a:chOff x="8887883" y="23124583"/>
          <a:chExt cx="8191474" cy="18145125"/>
        </a:xfrm>
        <a:effectLst/>
      </xdr:grpSpPr>
      <xdr:grpSp>
        <xdr:nvGrpSpPr>
          <xdr:cNvPr id="4846946" name="Group 14"/>
          <xdr:cNvGrpSpPr>
            <a:grpSpLocks/>
          </xdr:cNvGrpSpPr>
        </xdr:nvGrpSpPr>
        <xdr:grpSpPr bwMode="auto">
          <a:xfrm>
            <a:off x="8887883" y="23124583"/>
            <a:ext cx="8108777" cy="18145125"/>
            <a:chOff x="7086599" y="17368157"/>
            <a:chExt cx="8048143" cy="18141043"/>
          </a:xfrm>
        </xdr:grpSpPr>
        <xdr:cxnSp macro="">
          <xdr:nvCxnSpPr>
            <xdr:cNvPr id="11" name="Straight Arrow Connector 10"/>
            <xdr:cNvCxnSpPr/>
          </xdr:nvCxnSpPr>
          <xdr:spPr>
            <a:xfrm>
              <a:off x="14978816" y="32395226"/>
              <a:ext cx="0" cy="3113974"/>
            </a:xfrm>
            <a:prstGeom prst="straightConnector1">
              <a:avLst/>
            </a:prstGeom>
            <a:ln w="28575">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nvGrpSpPr>
            <xdr:cNvPr id="4846949" name="Group 13"/>
            <xdr:cNvGrpSpPr>
              <a:grpSpLocks/>
            </xdr:cNvGrpSpPr>
          </xdr:nvGrpSpPr>
          <xdr:grpSpPr bwMode="auto">
            <a:xfrm>
              <a:off x="7086599" y="17368157"/>
              <a:ext cx="8048143" cy="18131521"/>
              <a:chOff x="7086599" y="17368157"/>
              <a:chExt cx="8048143" cy="18131521"/>
            </a:xfrm>
          </xdr:grpSpPr>
          <xdr:grpSp>
            <xdr:nvGrpSpPr>
              <xdr:cNvPr id="4846950" name="Group 42"/>
              <xdr:cNvGrpSpPr>
                <a:grpSpLocks/>
              </xdr:cNvGrpSpPr>
            </xdr:nvGrpSpPr>
            <xdr:grpSpPr bwMode="auto">
              <a:xfrm>
                <a:off x="7086599" y="17368157"/>
                <a:ext cx="8048143" cy="15239288"/>
                <a:chOff x="5923295" y="11912623"/>
                <a:chExt cx="9751885" cy="16946396"/>
              </a:xfrm>
            </xdr:grpSpPr>
            <xdr:grpSp>
              <xdr:nvGrpSpPr>
                <xdr:cNvPr id="4846953" name="Group 45"/>
                <xdr:cNvGrpSpPr>
                  <a:grpSpLocks/>
                </xdr:cNvGrpSpPr>
              </xdr:nvGrpSpPr>
              <xdr:grpSpPr bwMode="auto">
                <a:xfrm>
                  <a:off x="5923295" y="11912623"/>
                  <a:ext cx="9751885" cy="11941631"/>
                  <a:chOff x="5894203" y="11912623"/>
                  <a:chExt cx="9703901" cy="11941631"/>
                </a:xfrm>
              </xdr:grpSpPr>
              <xdr:pic>
                <xdr:nvPicPr>
                  <xdr:cNvPr id="4846955" name="Picture 48"/>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627142" y="17929411"/>
                    <a:ext cx="6970962" cy="5924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46956" name="Picture 47"/>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894203" y="11912623"/>
                    <a:ext cx="9702842" cy="63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46954" name="Picture 46"/>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626281" y="22878067"/>
                  <a:ext cx="6889462" cy="5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xnSp macro="">
            <xdr:nvCxnSpPr>
              <xdr:cNvPr id="80" name="Straight Arrow Connector 79"/>
              <xdr:cNvCxnSpPr/>
            </xdr:nvCxnSpPr>
            <xdr:spPr>
              <a:xfrm>
                <a:off x="9333358" y="23043780"/>
                <a:ext cx="0" cy="12446374"/>
              </a:xfrm>
              <a:prstGeom prst="straightConnector1">
                <a:avLst/>
              </a:prstGeom>
              <a:ln w="28575">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83" name="Straight Arrow Connector 82"/>
              <xdr:cNvCxnSpPr/>
            </xdr:nvCxnSpPr>
            <xdr:spPr>
              <a:xfrm rot="5400000">
                <a:off x="12151327" y="32672188"/>
                <a:ext cx="0" cy="5654978"/>
              </a:xfrm>
              <a:prstGeom prst="straightConnector1">
                <a:avLst/>
              </a:prstGeom>
              <a:ln w="28575">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grpSp>
      <xdr:pic>
        <xdr:nvPicPr>
          <xdr:cNvPr id="4846947" name="Picture 22"/>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6869833" y="28945420"/>
            <a:ext cx="209524" cy="490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38100</xdr:colOff>
      <xdr:row>4</xdr:row>
      <xdr:rowOff>9525</xdr:rowOff>
    </xdr:from>
    <xdr:to>
      <xdr:col>13</xdr:col>
      <xdr:colOff>476250</xdr:colOff>
      <xdr:row>28</xdr:row>
      <xdr:rowOff>57150</xdr:rowOff>
    </xdr:to>
    <xdr:grpSp>
      <xdr:nvGrpSpPr>
        <xdr:cNvPr id="4846923" name="Group 2"/>
        <xdr:cNvGrpSpPr>
          <a:grpSpLocks/>
        </xdr:cNvGrpSpPr>
      </xdr:nvGrpSpPr>
      <xdr:grpSpPr bwMode="auto">
        <a:xfrm>
          <a:off x="281517" y="877358"/>
          <a:ext cx="7804150" cy="4630209"/>
          <a:chOff x="281517" y="877358"/>
          <a:chExt cx="7413625" cy="4619625"/>
        </a:xfrm>
        <a:effectLst>
          <a:outerShdw blurRad="50800" dist="38100" dir="2700000" algn="tl" rotWithShape="0">
            <a:prstClr val="black">
              <a:alpha val="40000"/>
            </a:prstClr>
          </a:outerShdw>
        </a:effectLst>
      </xdr:grpSpPr>
      <xdr:grpSp>
        <xdr:nvGrpSpPr>
          <xdr:cNvPr id="4846931" name="Group 14"/>
          <xdr:cNvGrpSpPr>
            <a:grpSpLocks/>
          </xdr:cNvGrpSpPr>
        </xdr:nvGrpSpPr>
        <xdr:grpSpPr bwMode="auto">
          <a:xfrm>
            <a:off x="281517" y="877358"/>
            <a:ext cx="7413625" cy="4619625"/>
            <a:chOff x="346076" y="904875"/>
            <a:chExt cx="11103654" cy="6794661"/>
          </a:xfrm>
        </xdr:grpSpPr>
        <xdr:grpSp>
          <xdr:nvGrpSpPr>
            <xdr:cNvPr id="4846933" name="Group 9"/>
            <xdr:cNvGrpSpPr>
              <a:grpSpLocks/>
            </xdr:cNvGrpSpPr>
          </xdr:nvGrpSpPr>
          <xdr:grpSpPr bwMode="auto">
            <a:xfrm>
              <a:off x="346076" y="904875"/>
              <a:ext cx="11103481" cy="6794661"/>
              <a:chOff x="346076" y="904875"/>
              <a:chExt cx="11103481" cy="6794661"/>
            </a:xfrm>
          </xdr:grpSpPr>
          <xdr:grpSp>
            <xdr:nvGrpSpPr>
              <xdr:cNvPr id="4846935" name="Group 5"/>
              <xdr:cNvGrpSpPr>
                <a:grpSpLocks/>
              </xdr:cNvGrpSpPr>
            </xdr:nvGrpSpPr>
            <xdr:grpSpPr bwMode="auto">
              <a:xfrm>
                <a:off x="346076" y="909107"/>
                <a:ext cx="11090014" cy="6790429"/>
                <a:chOff x="344715" y="913189"/>
                <a:chExt cx="11138986" cy="6790429"/>
              </a:xfrm>
            </xdr:grpSpPr>
            <xdr:grpSp>
              <xdr:nvGrpSpPr>
                <xdr:cNvPr id="4846937" name="Group 4"/>
                <xdr:cNvGrpSpPr>
                  <a:grpSpLocks/>
                </xdr:cNvGrpSpPr>
              </xdr:nvGrpSpPr>
              <xdr:grpSpPr bwMode="auto">
                <a:xfrm>
                  <a:off x="344715" y="913189"/>
                  <a:ext cx="11138986" cy="6790429"/>
                  <a:chOff x="344715" y="913189"/>
                  <a:chExt cx="11138986" cy="6790429"/>
                </a:xfrm>
              </xdr:grpSpPr>
              <xdr:grpSp>
                <xdr:nvGrpSpPr>
                  <xdr:cNvPr id="4846939" name="Group 1"/>
                  <xdr:cNvGrpSpPr>
                    <a:grpSpLocks/>
                  </xdr:cNvGrpSpPr>
                </xdr:nvGrpSpPr>
                <xdr:grpSpPr bwMode="auto">
                  <a:xfrm>
                    <a:off x="344715" y="913189"/>
                    <a:ext cx="8884037" cy="6790429"/>
                    <a:chOff x="349251" y="910165"/>
                    <a:chExt cx="8905330" cy="6790429"/>
                  </a:xfrm>
                </xdr:grpSpPr>
                <xdr:grpSp>
                  <xdr:nvGrpSpPr>
                    <xdr:cNvPr id="4846942" name="Group 74"/>
                    <xdr:cNvGrpSpPr>
                      <a:grpSpLocks/>
                    </xdr:cNvGrpSpPr>
                  </xdr:nvGrpSpPr>
                  <xdr:grpSpPr bwMode="auto">
                    <a:xfrm>
                      <a:off x="349252" y="910165"/>
                      <a:ext cx="8905329" cy="6790429"/>
                      <a:chOff x="3339353" y="11586882"/>
                      <a:chExt cx="8905329" cy="6790429"/>
                    </a:xfrm>
                  </xdr:grpSpPr>
                  <xdr:pic>
                    <xdr:nvPicPr>
                      <xdr:cNvPr id="4846944" name="Picture 75"/>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339353" y="11586882"/>
                        <a:ext cx="8905329" cy="4504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46945" name="Picture 76"/>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5939118" y="15710644"/>
                        <a:ext cx="6252881" cy="2666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78" name="Rectangle 77"/>
                    <xdr:cNvSpPr/>
                  </xdr:nvSpPr>
                  <xdr:spPr bwMode="auto">
                    <a:xfrm>
                      <a:off x="349251" y="5379784"/>
                      <a:ext cx="2636914" cy="2306829"/>
                    </a:xfrm>
                    <a:prstGeom prst="rect">
                      <a:avLst/>
                    </a:prstGeom>
                    <a:solidFill>
                      <a:schemeClr val="tx1"/>
                    </a:solidFill>
                    <a:ln w="6350">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94" name="Rectangle 93"/>
                  <xdr:cNvSpPr/>
                </xdr:nvSpPr>
                <xdr:spPr bwMode="auto">
                  <a:xfrm>
                    <a:off x="9181918" y="1118669"/>
                    <a:ext cx="2301783" cy="6570968"/>
                  </a:xfrm>
                  <a:prstGeom prst="rect">
                    <a:avLst/>
                  </a:prstGeom>
                  <a:solidFill>
                    <a:schemeClr val="tx1"/>
                  </a:solidFill>
                  <a:ln w="6350">
                    <a:solidFill>
                      <a:schemeClr val="tx1"/>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79" name="Rectangle 78"/>
                  <xdr:cNvSpPr/>
                </xdr:nvSpPr>
                <xdr:spPr bwMode="auto">
                  <a:xfrm>
                    <a:off x="3221944" y="3844922"/>
                    <a:ext cx="6617626" cy="3788792"/>
                  </a:xfrm>
                  <a:prstGeom prst="rect">
                    <a:avLst/>
                  </a:prstGeom>
                  <a:noFill/>
                  <a:ln w="22225">
                    <a:solidFill>
                      <a:srgbClr val="3399FF"/>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pic>
              <xdr:nvPicPr>
                <xdr:cNvPr id="4846938" name="Picture 2"/>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798288" y="4704533"/>
                  <a:ext cx="1741614" cy="129106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grpSp>
          <xdr:pic>
            <xdr:nvPicPr>
              <xdr:cNvPr id="4846936" name="Picture 8"/>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620986" y="904875"/>
                <a:ext cx="3828571" cy="1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46934" name="Picture 13"/>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011635" y="1095375"/>
              <a:ext cx="2438095" cy="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70" name="Rectangle 69"/>
          <xdr:cNvSpPr/>
        </xdr:nvSpPr>
        <xdr:spPr bwMode="auto">
          <a:xfrm>
            <a:off x="317948" y="1248069"/>
            <a:ext cx="1694022" cy="2138715"/>
          </a:xfrm>
          <a:prstGeom prst="rect">
            <a:avLst/>
          </a:prstGeom>
          <a:noFill/>
          <a:ln w="22225">
            <a:solidFill>
              <a:srgbClr val="3399FF"/>
            </a:solidFill>
            <a:prstDash val="solid"/>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editAs="oneCell">
    <xdr:from>
      <xdr:col>14</xdr:col>
      <xdr:colOff>30008</xdr:colOff>
      <xdr:row>8</xdr:row>
      <xdr:rowOff>187944</xdr:rowOff>
    </xdr:from>
    <xdr:to>
      <xdr:col>22</xdr:col>
      <xdr:colOff>365400</xdr:colOff>
      <xdr:row>28</xdr:row>
      <xdr:rowOff>50362</xdr:rowOff>
    </xdr:to>
    <xdr:pic>
      <xdr:nvPicPr>
        <xdr:cNvPr id="4" name="Picture 3"/>
        <xdr:cNvPicPr>
          <a:picLocks noChangeAspect="1"/>
        </xdr:cNvPicPr>
      </xdr:nvPicPr>
      <xdr:blipFill>
        <a:blip xmlns:r="http://schemas.openxmlformats.org/officeDocument/2006/relationships" r:embed="rId21"/>
        <a:stretch>
          <a:fillRect/>
        </a:stretch>
      </xdr:blipFill>
      <xdr:spPr>
        <a:xfrm>
          <a:off x="8221508" y="1817047"/>
          <a:ext cx="5222702" cy="3683002"/>
        </a:xfrm>
        <a:prstGeom prst="rect">
          <a:avLst/>
        </a:prstGeom>
        <a:effectLst>
          <a:outerShdw blurRad="50800" dist="38100" dir="2700000" algn="tl" rotWithShape="0">
            <a:prstClr val="black">
              <a:alpha val="40000"/>
            </a:prstClr>
          </a:outerShdw>
        </a:effectLst>
      </xdr:spPr>
    </xdr:pic>
    <xdr:clientData/>
  </xdr:twoCellAnchor>
  <xdr:twoCellAnchor>
    <xdr:from>
      <xdr:col>9</xdr:col>
      <xdr:colOff>52552</xdr:colOff>
      <xdr:row>16</xdr:row>
      <xdr:rowOff>85400</xdr:rowOff>
    </xdr:from>
    <xdr:to>
      <xdr:col>14</xdr:col>
      <xdr:colOff>584638</xdr:colOff>
      <xdr:row>17</xdr:row>
      <xdr:rowOff>151087</xdr:rowOff>
    </xdr:to>
    <xdr:cxnSp macro="">
      <xdr:nvCxnSpPr>
        <xdr:cNvPr id="14" name="Elbow Connector 13"/>
        <xdr:cNvCxnSpPr/>
      </xdr:nvCxnSpPr>
      <xdr:spPr>
        <a:xfrm>
          <a:off x="5189483" y="3238503"/>
          <a:ext cx="3586655" cy="256187"/>
        </a:xfrm>
        <a:prstGeom prst="bentConnector3">
          <a:avLst>
            <a:gd name="adj1" fmla="val 73626"/>
          </a:avLst>
        </a:prstGeom>
        <a:ln w="6350">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135985</xdr:colOff>
      <xdr:row>70</xdr:row>
      <xdr:rowOff>189988</xdr:rowOff>
    </xdr:from>
    <xdr:to>
      <xdr:col>7</xdr:col>
      <xdr:colOff>135985</xdr:colOff>
      <xdr:row>84</xdr:row>
      <xdr:rowOff>150988</xdr:rowOff>
    </xdr:to>
    <xdr:cxnSp macro="">
      <xdr:nvCxnSpPr>
        <xdr:cNvPr id="84" name="Straight Connector 83"/>
        <xdr:cNvCxnSpPr/>
      </xdr:nvCxnSpPr>
      <xdr:spPr>
        <a:xfrm rot="5400000">
          <a:off x="2748402" y="15156488"/>
          <a:ext cx="2628000" cy="0"/>
        </a:xfrm>
        <a:prstGeom prst="line">
          <a:avLst/>
        </a:prstGeom>
        <a:ln w="190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152400</xdr:colOff>
      <xdr:row>66</xdr:row>
      <xdr:rowOff>38100</xdr:rowOff>
    </xdr:from>
    <xdr:to>
      <xdr:col>7</xdr:col>
      <xdr:colOff>142875</xdr:colOff>
      <xdr:row>71</xdr:row>
      <xdr:rowOff>0</xdr:rowOff>
    </xdr:to>
    <xdr:grpSp>
      <xdr:nvGrpSpPr>
        <xdr:cNvPr id="4846927" name="Group 11"/>
        <xdr:cNvGrpSpPr>
          <a:grpSpLocks/>
        </xdr:cNvGrpSpPr>
      </xdr:nvGrpSpPr>
      <xdr:grpSpPr bwMode="auto">
        <a:xfrm>
          <a:off x="1623483" y="12939183"/>
          <a:ext cx="2445809" cy="914400"/>
          <a:chOff x="1619249" y="12931031"/>
          <a:chExt cx="1872361" cy="916022"/>
        </a:xfrm>
      </xdr:grpSpPr>
      <xdr:cxnSp macro="">
        <xdr:nvCxnSpPr>
          <xdr:cNvPr id="10" name="Straight Connector 9"/>
          <xdr:cNvCxnSpPr/>
        </xdr:nvCxnSpPr>
        <xdr:spPr>
          <a:xfrm>
            <a:off x="1619249" y="12931031"/>
            <a:ext cx="932509" cy="0"/>
          </a:xfrm>
          <a:prstGeom prst="line">
            <a:avLst/>
          </a:prstGeom>
          <a:ln w="190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85" name="Straight Connector 84"/>
          <xdr:cNvCxnSpPr/>
        </xdr:nvCxnSpPr>
        <xdr:spPr>
          <a:xfrm>
            <a:off x="2551758" y="12931031"/>
            <a:ext cx="939852" cy="916022"/>
          </a:xfrm>
          <a:prstGeom prst="line">
            <a:avLst/>
          </a:prstGeom>
          <a:ln w="190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16</xdr:col>
      <xdr:colOff>518582</xdr:colOff>
      <xdr:row>20</xdr:row>
      <xdr:rowOff>105834</xdr:rowOff>
    </xdr:from>
    <xdr:to>
      <xdr:col>25</xdr:col>
      <xdr:colOff>243416</xdr:colOff>
      <xdr:row>39</xdr:row>
      <xdr:rowOff>105194</xdr:rowOff>
    </xdr:to>
    <xdr:pic>
      <xdr:nvPicPr>
        <xdr:cNvPr id="23" name="Picture 22"/>
        <xdr:cNvPicPr>
          <a:picLocks noChangeAspect="1"/>
        </xdr:cNvPicPr>
      </xdr:nvPicPr>
      <xdr:blipFill>
        <a:blip xmlns:r="http://schemas.openxmlformats.org/officeDocument/2006/relationships" r:embed="rId22"/>
        <a:stretch>
          <a:fillRect/>
        </a:stretch>
      </xdr:blipFill>
      <xdr:spPr>
        <a:xfrm>
          <a:off x="9969499" y="4021667"/>
          <a:ext cx="5249334" cy="3724693"/>
        </a:xfrm>
        <a:prstGeom prst="rect">
          <a:avLst/>
        </a:prstGeom>
        <a:effectLst>
          <a:outerShdw blurRad="50800" dist="38100" dir="2700000" algn="tl" rotWithShape="0">
            <a:prstClr val="black">
              <a:alpha val="40000"/>
            </a:prstClr>
          </a:outerShdw>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31750</xdr:colOff>
      <xdr:row>5</xdr:row>
      <xdr:rowOff>42334</xdr:rowOff>
    </xdr:from>
    <xdr:to>
      <xdr:col>17</xdr:col>
      <xdr:colOff>221946</xdr:colOff>
      <xdr:row>25</xdr:row>
      <xdr:rowOff>118534</xdr:rowOff>
    </xdr:to>
    <xdr:pic>
      <xdr:nvPicPr>
        <xdr:cNvPr id="19" name="Picture 41"/>
        <xdr:cNvPicPr>
          <a:picLocks noChangeAspect="1"/>
        </xdr:cNvPicPr>
      </xdr:nvPicPr>
      <xdr:blipFill>
        <a:blip xmlns:r="http://schemas.openxmlformats.org/officeDocument/2006/relationships" r:embed="rId1"/>
        <a:srcRect/>
        <a:stretch>
          <a:fillRect/>
        </a:stretch>
      </xdr:blipFill>
      <xdr:spPr bwMode="auto">
        <a:xfrm>
          <a:off x="275167" y="1068917"/>
          <a:ext cx="10011529" cy="3886200"/>
        </a:xfrm>
        <a:prstGeom prst="rect">
          <a:avLst/>
        </a:prstGeom>
        <a:noFill/>
        <a:ln w="3175">
          <a:solidFill>
            <a:schemeClr val="bg1">
              <a:lumMod val="65000"/>
            </a:schemeClr>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67733</xdr:colOff>
      <xdr:row>11</xdr:row>
      <xdr:rowOff>85725</xdr:rowOff>
    </xdr:from>
    <xdr:to>
      <xdr:col>9</xdr:col>
      <xdr:colOff>386292</xdr:colOff>
      <xdr:row>27</xdr:row>
      <xdr:rowOff>180975</xdr:rowOff>
    </xdr:to>
    <xdr:pic>
      <xdr:nvPicPr>
        <xdr:cNvPr id="3430010" name="Picture 13"/>
        <xdr:cNvPicPr>
          <a:picLocks noChangeAspect="1"/>
        </xdr:cNvPicPr>
      </xdr:nvPicPr>
      <xdr:blipFill>
        <a:blip xmlns:r="http://schemas.openxmlformats.org/officeDocument/2006/relationships" r:embed="rId2"/>
        <a:srcRect/>
        <a:stretch>
          <a:fillRect/>
        </a:stretch>
      </xdr:blipFill>
      <xdr:spPr bwMode="auto">
        <a:xfrm>
          <a:off x="924983" y="2361142"/>
          <a:ext cx="4615392" cy="31432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433917</xdr:colOff>
      <xdr:row>10</xdr:row>
      <xdr:rowOff>161925</xdr:rowOff>
    </xdr:from>
    <xdr:to>
      <xdr:col>10</xdr:col>
      <xdr:colOff>358046</xdr:colOff>
      <xdr:row>13</xdr:row>
      <xdr:rowOff>32915</xdr:rowOff>
    </xdr:to>
    <xdr:sp macro="" textlink="">
      <xdr:nvSpPr>
        <xdr:cNvPr id="17" name="Bent Arrow 16"/>
        <xdr:cNvSpPr/>
      </xdr:nvSpPr>
      <xdr:spPr>
        <a:xfrm rot="10800000">
          <a:off x="5588000" y="2246842"/>
          <a:ext cx="537963" cy="442490"/>
        </a:xfrm>
        <a:prstGeom prst="bentArrow">
          <a:avLst/>
        </a:prstGeom>
        <a:solidFill>
          <a:srgbClr val="00B050"/>
        </a:solidFill>
        <a:ln w="6350">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9</xdr:col>
      <xdr:colOff>411695</xdr:colOff>
      <xdr:row>6</xdr:row>
      <xdr:rowOff>67733</xdr:rowOff>
    </xdr:from>
    <xdr:to>
      <xdr:col>10</xdr:col>
      <xdr:colOff>575085</xdr:colOff>
      <xdr:row>7</xdr:row>
      <xdr:rowOff>86783</xdr:rowOff>
    </xdr:to>
    <xdr:sp macro="" textlink="">
      <xdr:nvSpPr>
        <xdr:cNvPr id="18" name="Rounded Rectangle 17"/>
        <xdr:cNvSpPr/>
      </xdr:nvSpPr>
      <xdr:spPr>
        <a:xfrm>
          <a:off x="5565778" y="1390650"/>
          <a:ext cx="777224" cy="209550"/>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4</xdr:col>
      <xdr:colOff>47625</xdr:colOff>
      <xdr:row>30</xdr:row>
      <xdr:rowOff>0</xdr:rowOff>
    </xdr:from>
    <xdr:to>
      <xdr:col>16</xdr:col>
      <xdr:colOff>533400</xdr:colOff>
      <xdr:row>84</xdr:row>
      <xdr:rowOff>114300</xdr:rowOff>
    </xdr:to>
    <xdr:grpSp>
      <xdr:nvGrpSpPr>
        <xdr:cNvPr id="4814985" name="Group 1"/>
        <xdr:cNvGrpSpPr>
          <a:grpSpLocks/>
        </xdr:cNvGrpSpPr>
      </xdr:nvGrpSpPr>
      <xdr:grpSpPr bwMode="auto">
        <a:xfrm>
          <a:off x="2132542" y="5894917"/>
          <a:ext cx="7851775" cy="10401300"/>
          <a:chOff x="252942" y="5789083"/>
          <a:chExt cx="7851775" cy="10401300"/>
        </a:xfrm>
      </xdr:grpSpPr>
      <xdr:grpSp>
        <xdr:nvGrpSpPr>
          <xdr:cNvPr id="4814988" name="Group 21"/>
          <xdr:cNvGrpSpPr>
            <a:grpSpLocks/>
          </xdr:cNvGrpSpPr>
        </xdr:nvGrpSpPr>
        <xdr:grpSpPr bwMode="auto">
          <a:xfrm>
            <a:off x="252942" y="5789083"/>
            <a:ext cx="7851775" cy="10401300"/>
            <a:chOff x="258079" y="5785468"/>
            <a:chExt cx="7781605" cy="10404101"/>
          </a:xfrm>
        </xdr:grpSpPr>
        <xdr:grpSp>
          <xdr:nvGrpSpPr>
            <xdr:cNvPr id="4814990" name="Group 18"/>
            <xdr:cNvGrpSpPr>
              <a:grpSpLocks/>
            </xdr:cNvGrpSpPr>
          </xdr:nvGrpSpPr>
          <xdr:grpSpPr bwMode="auto">
            <a:xfrm>
              <a:off x="258079" y="5785468"/>
              <a:ext cx="7781605" cy="10404101"/>
              <a:chOff x="256614" y="5788399"/>
              <a:chExt cx="7799189" cy="10404101"/>
            </a:xfrm>
          </xdr:grpSpPr>
          <xdr:pic>
            <xdr:nvPicPr>
              <xdr:cNvPr id="3944650" name="Picture 1"/>
              <xdr:cNvPicPr>
                <a:picLocks noChangeAspect="1"/>
              </xdr:cNvPicPr>
            </xdr:nvPicPr>
            <xdr:blipFill>
              <a:blip xmlns:r="http://schemas.openxmlformats.org/officeDocument/2006/relationships" r:embed="rId3"/>
              <a:srcRect/>
              <a:stretch>
                <a:fillRect/>
              </a:stretch>
            </xdr:blipFill>
            <xdr:spPr bwMode="auto">
              <a:xfrm>
                <a:off x="256614" y="5788399"/>
                <a:ext cx="7799189" cy="10404101"/>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0" name="Rectangle 9"/>
              <xdr:cNvSpPr/>
            </xdr:nvSpPr>
            <xdr:spPr>
              <a:xfrm>
                <a:off x="266137" y="6369580"/>
                <a:ext cx="1837904" cy="190551"/>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pic>
          <xdr:nvPicPr>
            <xdr:cNvPr id="4814991" name="Picture 20"/>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293827" y="5942134"/>
              <a:ext cx="930376" cy="2015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24" name="Rectangle 23"/>
          <xdr:cNvSpPr/>
        </xdr:nvSpPr>
        <xdr:spPr>
          <a:xfrm>
            <a:off x="272116" y="6703483"/>
            <a:ext cx="1821535" cy="33432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0</xdr:col>
      <xdr:colOff>0</xdr:colOff>
      <xdr:row>0</xdr:row>
      <xdr:rowOff>0</xdr:rowOff>
    </xdr:from>
    <xdr:to>
      <xdr:col>29</xdr:col>
      <xdr:colOff>569250</xdr:colOff>
      <xdr:row>1</xdr:row>
      <xdr:rowOff>169500</xdr:rowOff>
    </xdr:to>
    <xdr:sp macro="" textlink="">
      <xdr:nvSpPr>
        <xdr:cNvPr id="44"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ea typeface="+mn-ea"/>
              <a:cs typeface="+mn-cs"/>
            </a:rPr>
            <a:t>Getting Live help and Help Pages</a:t>
          </a:r>
        </a:p>
      </xdr:txBody>
    </xdr:sp>
    <xdr:clientData/>
  </xdr:twoCellAnchor>
  <xdr:twoCellAnchor>
    <xdr:from>
      <xdr:col>10</xdr:col>
      <xdr:colOff>516545</xdr:colOff>
      <xdr:row>10</xdr:row>
      <xdr:rowOff>26545</xdr:rowOff>
    </xdr:from>
    <xdr:to>
      <xdr:col>11</xdr:col>
      <xdr:colOff>122015</xdr:colOff>
      <xdr:row>32</xdr:row>
      <xdr:rowOff>49696</xdr:rowOff>
    </xdr:to>
    <xdr:sp macro="" textlink="">
      <xdr:nvSpPr>
        <xdr:cNvPr id="16" name="Down Arrow 15"/>
        <xdr:cNvSpPr/>
      </xdr:nvSpPr>
      <xdr:spPr>
        <a:xfrm>
          <a:off x="6281241" y="2113762"/>
          <a:ext cx="218383" cy="4214151"/>
        </a:xfrm>
        <a:prstGeom prst="downArrow">
          <a:avLst/>
        </a:prstGeom>
        <a:solidFill>
          <a:srgbClr val="FF0000"/>
        </a:solidFill>
        <a:ln w="19050">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60864</xdr:colOff>
      <xdr:row>55</xdr:row>
      <xdr:rowOff>65880</xdr:rowOff>
    </xdr:from>
    <xdr:to>
      <xdr:col>3</xdr:col>
      <xdr:colOff>281130</xdr:colOff>
      <xdr:row>56</xdr:row>
      <xdr:rowOff>123030</xdr:rowOff>
    </xdr:to>
    <xdr:sp macro="" textlink="">
      <xdr:nvSpPr>
        <xdr:cNvPr id="78" name="TextBox 77"/>
        <xdr:cNvSpPr txBox="1"/>
      </xdr:nvSpPr>
      <xdr:spPr>
        <a:xfrm>
          <a:off x="304281" y="10945547"/>
          <a:ext cx="1924182"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50" b="0"/>
            <a:t>DBR 2 22 &lt;govt&gt; FLDS BID &lt;go&gt;</a:t>
          </a:r>
        </a:p>
      </xdr:txBody>
    </xdr:sp>
    <xdr:clientData/>
  </xdr:twoCellAnchor>
  <xdr:oneCellAnchor>
    <xdr:from>
      <xdr:col>8</xdr:col>
      <xdr:colOff>228600</xdr:colOff>
      <xdr:row>80</xdr:row>
      <xdr:rowOff>0</xdr:rowOff>
    </xdr:from>
    <xdr:ext cx="184731" cy="264560"/>
    <xdr:sp macro="" textlink="">
      <xdr:nvSpPr>
        <xdr:cNvPr id="10" name="TextBox 9"/>
        <xdr:cNvSpPr txBox="1"/>
      </xdr:nvSpPr>
      <xdr:spPr>
        <a:xfrm>
          <a:off x="4972050" y="146970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n-GB"/>
        </a:p>
      </xdr:txBody>
    </xdr:sp>
    <xdr:clientData/>
  </xdr:oneCellAnchor>
  <xdr:twoCellAnchor>
    <xdr:from>
      <xdr:col>0</xdr:col>
      <xdr:colOff>0</xdr:colOff>
      <xdr:row>0</xdr:row>
      <xdr:rowOff>0</xdr:rowOff>
    </xdr:from>
    <xdr:to>
      <xdr:col>29</xdr:col>
      <xdr:colOff>272917</xdr:colOff>
      <xdr:row>1</xdr:row>
      <xdr:rowOff>137750</xdr:rowOff>
    </xdr:to>
    <xdr:sp macro="" textlink="">
      <xdr:nvSpPr>
        <xdr:cNvPr id="1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Tickers &amp; Fields</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11</xdr:col>
      <xdr:colOff>419100</xdr:colOff>
      <xdr:row>31</xdr:row>
      <xdr:rowOff>28575</xdr:rowOff>
    </xdr:from>
    <xdr:to>
      <xdr:col>14</xdr:col>
      <xdr:colOff>114300</xdr:colOff>
      <xdr:row>34</xdr:row>
      <xdr:rowOff>114300</xdr:rowOff>
    </xdr:to>
    <xdr:pic>
      <xdr:nvPicPr>
        <xdr:cNvPr id="3616734" name="Picture 11"/>
        <xdr:cNvPicPr>
          <a:picLocks noChangeAspect="1"/>
        </xdr:cNvPicPr>
      </xdr:nvPicPr>
      <xdr:blipFill>
        <a:blip xmlns:r="http://schemas.openxmlformats.org/officeDocument/2006/relationships" r:embed="rId1"/>
        <a:srcRect/>
        <a:stretch>
          <a:fillRect/>
        </a:stretch>
      </xdr:blipFill>
      <xdr:spPr bwMode="auto">
        <a:xfrm>
          <a:off x="6962775" y="6448425"/>
          <a:ext cx="1495425" cy="657225"/>
        </a:xfrm>
        <a:prstGeom prst="rect">
          <a:avLst/>
        </a:prstGeom>
        <a:noFill/>
        <a:ln w="9525">
          <a:solidFill>
            <a:srgbClr val="7F7F7F"/>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9525</xdr:colOff>
      <xdr:row>60</xdr:row>
      <xdr:rowOff>9525</xdr:rowOff>
    </xdr:from>
    <xdr:to>
      <xdr:col>16</xdr:col>
      <xdr:colOff>361950</xdr:colOff>
      <xdr:row>64</xdr:row>
      <xdr:rowOff>19050</xdr:rowOff>
    </xdr:to>
    <xdr:pic>
      <xdr:nvPicPr>
        <xdr:cNvPr id="3616735" name="Picture 2067557"/>
        <xdr:cNvPicPr>
          <a:picLocks noChangeAspect="1"/>
        </xdr:cNvPicPr>
      </xdr:nvPicPr>
      <xdr:blipFill>
        <a:blip xmlns:r="http://schemas.openxmlformats.org/officeDocument/2006/relationships" r:embed="rId2"/>
        <a:srcRect/>
        <a:stretch>
          <a:fillRect/>
        </a:stretch>
      </xdr:blipFill>
      <xdr:spPr bwMode="auto">
        <a:xfrm>
          <a:off x="7753350" y="11839575"/>
          <a:ext cx="2152650" cy="7715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9525</xdr:colOff>
      <xdr:row>64</xdr:row>
      <xdr:rowOff>114300</xdr:rowOff>
    </xdr:from>
    <xdr:to>
      <xdr:col>15</xdr:col>
      <xdr:colOff>590550</xdr:colOff>
      <xdr:row>68</xdr:row>
      <xdr:rowOff>28575</xdr:rowOff>
    </xdr:to>
    <xdr:pic>
      <xdr:nvPicPr>
        <xdr:cNvPr id="3616736" name="Picture 2067566"/>
        <xdr:cNvPicPr>
          <a:picLocks noChangeAspect="1"/>
        </xdr:cNvPicPr>
      </xdr:nvPicPr>
      <xdr:blipFill>
        <a:blip xmlns:r="http://schemas.openxmlformats.org/officeDocument/2006/relationships" r:embed="rId3"/>
        <a:srcRect/>
        <a:stretch>
          <a:fillRect/>
        </a:stretch>
      </xdr:blipFill>
      <xdr:spPr bwMode="auto">
        <a:xfrm>
          <a:off x="7753350" y="12706350"/>
          <a:ext cx="1781175" cy="6762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476250</xdr:colOff>
      <xdr:row>72</xdr:row>
      <xdr:rowOff>47625</xdr:rowOff>
    </xdr:from>
    <xdr:to>
      <xdr:col>13</xdr:col>
      <xdr:colOff>9525</xdr:colOff>
      <xdr:row>72</xdr:row>
      <xdr:rowOff>180975</xdr:rowOff>
    </xdr:to>
    <xdr:pic>
      <xdr:nvPicPr>
        <xdr:cNvPr id="4851850" name="Picture 3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829550" y="14249400"/>
          <a:ext cx="133350" cy="133350"/>
        </a:xfrm>
        <a:prstGeom prst="rect">
          <a:avLst/>
        </a:prstGeom>
        <a:solidFill>
          <a:srgbClr val="00B050"/>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xdr:colOff>
      <xdr:row>56</xdr:row>
      <xdr:rowOff>95250</xdr:rowOff>
    </xdr:from>
    <xdr:to>
      <xdr:col>12</xdr:col>
      <xdr:colOff>476250</xdr:colOff>
      <xdr:row>79</xdr:row>
      <xdr:rowOff>152400</xdr:rowOff>
    </xdr:to>
    <xdr:grpSp>
      <xdr:nvGrpSpPr>
        <xdr:cNvPr id="4851851" name="Group 103"/>
        <xdr:cNvGrpSpPr>
          <a:grpSpLocks/>
        </xdr:cNvGrpSpPr>
      </xdr:nvGrpSpPr>
      <xdr:grpSpPr bwMode="auto">
        <a:xfrm>
          <a:off x="300567" y="11260667"/>
          <a:ext cx="7552266" cy="4438650"/>
          <a:chOff x="289414" y="7085867"/>
          <a:chExt cx="7310622" cy="4400550"/>
        </a:xfrm>
      </xdr:grpSpPr>
      <xdr:grpSp>
        <xdr:nvGrpSpPr>
          <xdr:cNvPr id="4851860" name="Group 94"/>
          <xdr:cNvGrpSpPr>
            <a:grpSpLocks/>
          </xdr:cNvGrpSpPr>
        </xdr:nvGrpSpPr>
        <xdr:grpSpPr bwMode="auto">
          <a:xfrm>
            <a:off x="289414" y="7085867"/>
            <a:ext cx="7310622" cy="4400550"/>
            <a:chOff x="289413" y="7047767"/>
            <a:chExt cx="7275048" cy="4400550"/>
          </a:xfrm>
        </xdr:grpSpPr>
        <xdr:grpSp>
          <xdr:nvGrpSpPr>
            <xdr:cNvPr id="4851862" name="Group 87"/>
            <xdr:cNvGrpSpPr>
              <a:grpSpLocks/>
            </xdr:cNvGrpSpPr>
          </xdr:nvGrpSpPr>
          <xdr:grpSpPr bwMode="auto">
            <a:xfrm>
              <a:off x="289413" y="7047767"/>
              <a:ext cx="7235337" cy="4400550"/>
              <a:chOff x="289413" y="7038242"/>
              <a:chExt cx="7235337" cy="4400550"/>
            </a:xfrm>
          </xdr:grpSpPr>
          <xdr:grpSp>
            <xdr:nvGrpSpPr>
              <xdr:cNvPr id="4851867" name="Group 86"/>
              <xdr:cNvGrpSpPr>
                <a:grpSpLocks/>
              </xdr:cNvGrpSpPr>
            </xdr:nvGrpSpPr>
            <xdr:grpSpPr bwMode="auto">
              <a:xfrm>
                <a:off x="289413" y="7038242"/>
                <a:ext cx="6743700" cy="4400550"/>
                <a:chOff x="8519013" y="12962792"/>
                <a:chExt cx="6743700" cy="4400550"/>
              </a:xfrm>
            </xdr:grpSpPr>
            <xdr:grpSp>
              <xdr:nvGrpSpPr>
                <xdr:cNvPr id="4851871" name="Group 84"/>
                <xdr:cNvGrpSpPr>
                  <a:grpSpLocks/>
                </xdr:cNvGrpSpPr>
              </xdr:nvGrpSpPr>
              <xdr:grpSpPr bwMode="auto">
                <a:xfrm>
                  <a:off x="8519013" y="12962792"/>
                  <a:ext cx="6743700" cy="4400550"/>
                  <a:chOff x="8519013" y="12962792"/>
                  <a:chExt cx="6743700" cy="4400550"/>
                </a:xfrm>
              </xdr:grpSpPr>
              <xdr:grpSp>
                <xdr:nvGrpSpPr>
                  <xdr:cNvPr id="4851873" name="Group 81"/>
                  <xdr:cNvGrpSpPr>
                    <a:grpSpLocks/>
                  </xdr:cNvGrpSpPr>
                </xdr:nvGrpSpPr>
                <xdr:grpSpPr bwMode="auto">
                  <a:xfrm>
                    <a:off x="8519013" y="12962792"/>
                    <a:ext cx="6743700" cy="4400550"/>
                    <a:chOff x="3253378" y="13834142"/>
                    <a:chExt cx="9219048" cy="6714286"/>
                  </a:xfrm>
                </xdr:grpSpPr>
                <xdr:pic>
                  <xdr:nvPicPr>
                    <xdr:cNvPr id="3616758" name="Picture 79"/>
                    <xdr:cNvPicPr>
                      <a:picLocks noChangeAspect="1"/>
                    </xdr:cNvPicPr>
                  </xdr:nvPicPr>
                  <xdr:blipFill>
                    <a:blip xmlns:r="http://schemas.openxmlformats.org/officeDocument/2006/relationships" r:embed="rId5"/>
                    <a:srcRect/>
                    <a:stretch>
                      <a:fillRect/>
                    </a:stretch>
                  </xdr:blipFill>
                  <xdr:spPr bwMode="auto">
                    <a:xfrm>
                      <a:off x="3253378" y="13834142"/>
                      <a:ext cx="9567758" cy="6714286"/>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81" name="Rectangle 80"/>
                    <xdr:cNvSpPr/>
                  </xdr:nvSpPr>
                  <xdr:spPr>
                    <a:xfrm>
                      <a:off x="3379270" y="19928869"/>
                      <a:ext cx="9328564" cy="475475"/>
                    </a:xfrm>
                    <a:prstGeom prst="rect">
                      <a:avLst/>
                    </a:prstGeom>
                    <a:solidFill>
                      <a:schemeClr val="tx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115" name="Rectangle 114"/>
                  <xdr:cNvSpPr/>
                </xdr:nvSpPr>
                <xdr:spPr bwMode="auto">
                  <a:xfrm>
                    <a:off x="13571742" y="13784354"/>
                    <a:ext cx="853359" cy="13220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116" name="Rectangle 115"/>
                  <xdr:cNvSpPr/>
                </xdr:nvSpPr>
                <xdr:spPr bwMode="auto">
                  <a:xfrm>
                    <a:off x="12815616" y="13623819"/>
                    <a:ext cx="953102" cy="141649"/>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2067574" name="Rectangle 2067573"/>
                  <xdr:cNvSpPr/>
                </xdr:nvSpPr>
                <xdr:spPr>
                  <a:xfrm>
                    <a:off x="10783531" y="13619213"/>
                    <a:ext cx="678861" cy="156619"/>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117" name="Rectangle 116"/>
                  <xdr:cNvSpPr/>
                </xdr:nvSpPr>
                <xdr:spPr bwMode="auto">
                  <a:xfrm>
                    <a:off x="11465868" y="14077094"/>
                    <a:ext cx="135824" cy="2030297"/>
                  </a:xfrm>
                  <a:prstGeom prst="rect">
                    <a:avLst/>
                  </a:prstGeom>
                  <a:noFill/>
                  <a:ln w="19050">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pic>
              <xdr:nvPicPr>
                <xdr:cNvPr id="4851872" name="Picture 85"/>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648700" y="13639799"/>
                  <a:ext cx="1456457"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nvGrpSpPr>
              <xdr:cNvPr id="4851868" name="Group 22"/>
              <xdr:cNvGrpSpPr>
                <a:grpSpLocks/>
              </xdr:cNvGrpSpPr>
            </xdr:nvGrpSpPr>
            <xdr:grpSpPr bwMode="auto">
              <a:xfrm>
                <a:off x="6098378" y="7990284"/>
                <a:ext cx="1426372" cy="734616"/>
                <a:chOff x="6688040" y="7554829"/>
                <a:chExt cx="223654" cy="1173253"/>
              </a:xfrm>
            </xdr:grpSpPr>
            <xdr:cxnSp macro="">
              <xdr:nvCxnSpPr>
                <xdr:cNvPr id="13" name="Straight Connector 12"/>
                <xdr:cNvCxnSpPr/>
              </xdr:nvCxnSpPr>
              <xdr:spPr>
                <a:xfrm>
                  <a:off x="6689776" y="7557584"/>
                  <a:ext cx="0" cy="1161297"/>
                </a:xfrm>
                <a:prstGeom prst="line">
                  <a:avLst/>
                </a:prstGeom>
                <a:ln w="15875">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9" name="Straight Arrow Connector 18"/>
                <xdr:cNvCxnSpPr/>
              </xdr:nvCxnSpPr>
              <xdr:spPr>
                <a:xfrm>
                  <a:off x="6688332" y="8718881"/>
                  <a:ext cx="223813" cy="15082"/>
                </a:xfrm>
                <a:prstGeom prst="straightConnector1">
                  <a:avLst/>
                </a:prstGeom>
                <a:ln w="15875">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grpSp>
        </xdr:grpSp>
        <xdr:cxnSp macro="">
          <xdr:nvCxnSpPr>
            <xdr:cNvPr id="123" name="Straight Arrow Connector 122"/>
            <xdr:cNvCxnSpPr/>
          </xdr:nvCxnSpPr>
          <xdr:spPr bwMode="auto">
            <a:xfrm flipV="1">
              <a:off x="3373655" y="10116820"/>
              <a:ext cx="4155261" cy="0"/>
            </a:xfrm>
            <a:prstGeom prst="straightConnector1">
              <a:avLst/>
            </a:prstGeom>
            <a:ln w="19050">
              <a:solidFill>
                <a:schemeClr val="accent6">
                  <a:lumMod val="75000"/>
                </a:schemeClr>
              </a:solidFill>
              <a:tailEnd type="arrow"/>
            </a:ln>
          </xdr:spPr>
          <xdr:style>
            <a:lnRef idx="1">
              <a:schemeClr val="accent2"/>
            </a:lnRef>
            <a:fillRef idx="0">
              <a:schemeClr val="accent2"/>
            </a:fillRef>
            <a:effectRef idx="0">
              <a:schemeClr val="accent2"/>
            </a:effectRef>
            <a:fontRef idx="minor">
              <a:schemeClr val="tx1"/>
            </a:fontRef>
          </xdr:style>
        </xdr:cxnSp>
        <xdr:cxnSp macro="">
          <xdr:nvCxnSpPr>
            <xdr:cNvPr id="2067573" name="Elbow Connector 2067572"/>
            <xdr:cNvCxnSpPr/>
          </xdr:nvCxnSpPr>
          <xdr:spPr>
            <a:xfrm>
              <a:off x="3237286" y="7846528"/>
              <a:ext cx="4281131" cy="1850414"/>
            </a:xfrm>
            <a:prstGeom prst="bentConnector3">
              <a:avLst>
                <a:gd name="adj1" fmla="val 6314"/>
              </a:avLst>
            </a:prstGeom>
            <a:ln w="19050">
              <a:solidFill>
                <a:srgbClr val="00B050"/>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7" name="Straight Arrow Connector 6"/>
            <xdr:cNvCxnSpPr/>
          </xdr:nvCxnSpPr>
          <xdr:spPr>
            <a:xfrm>
              <a:off x="5243813" y="7708794"/>
              <a:ext cx="2265395" cy="0"/>
            </a:xfrm>
            <a:prstGeom prst="straightConnector1">
              <a:avLst/>
            </a:prstGeom>
            <a:ln w="19050">
              <a:solidFill>
                <a:srgbClr val="00B0F0"/>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46" name="Elbow Connector 45"/>
            <xdr:cNvCxnSpPr/>
          </xdr:nvCxnSpPr>
          <xdr:spPr>
            <a:xfrm>
              <a:off x="3926937" y="10409561"/>
              <a:ext cx="3637524" cy="424946"/>
            </a:xfrm>
            <a:prstGeom prst="bentConnector3">
              <a:avLst>
                <a:gd name="adj1" fmla="val 50000"/>
              </a:avLst>
            </a:prstGeom>
            <a:ln w="19050">
              <a:solidFill>
                <a:schemeClr val="bg1">
                  <a:lumMod val="65000"/>
                </a:schemeClr>
              </a:solidFill>
              <a:tailEnd type="arrow"/>
            </a:ln>
          </xdr:spPr>
          <xdr:style>
            <a:lnRef idx="1">
              <a:schemeClr val="accent1"/>
            </a:lnRef>
            <a:fillRef idx="0">
              <a:schemeClr val="accent1"/>
            </a:fillRef>
            <a:effectRef idx="0">
              <a:schemeClr val="accent1"/>
            </a:effectRef>
            <a:fontRef idx="minor">
              <a:schemeClr val="tx1"/>
            </a:fontRef>
          </xdr:style>
        </xdr:cxnSp>
      </xdr:grpSp>
      <xdr:sp macro="" textlink="">
        <xdr:nvSpPr>
          <xdr:cNvPr id="140" name="Rectangle 139"/>
          <xdr:cNvSpPr/>
        </xdr:nvSpPr>
        <xdr:spPr>
          <a:xfrm>
            <a:off x="2723203" y="10806504"/>
            <a:ext cx="1082712" cy="141649"/>
          </a:xfrm>
          <a:prstGeom prst="rect">
            <a:avLst/>
          </a:prstGeom>
          <a:solidFill>
            <a:schemeClr val="tx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11</xdr:col>
      <xdr:colOff>419100</xdr:colOff>
      <xdr:row>32</xdr:row>
      <xdr:rowOff>28575</xdr:rowOff>
    </xdr:from>
    <xdr:to>
      <xdr:col>12</xdr:col>
      <xdr:colOff>304800</xdr:colOff>
      <xdr:row>34</xdr:row>
      <xdr:rowOff>123825</xdr:rowOff>
    </xdr:to>
    <xdr:sp macro="" textlink="">
      <xdr:nvSpPr>
        <xdr:cNvPr id="33" name="Rectangle 32"/>
        <xdr:cNvSpPr/>
      </xdr:nvSpPr>
      <xdr:spPr bwMode="auto">
        <a:xfrm>
          <a:off x="6943725" y="2562225"/>
          <a:ext cx="485775" cy="47625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9525</xdr:colOff>
      <xdr:row>8</xdr:row>
      <xdr:rowOff>9525</xdr:rowOff>
    </xdr:from>
    <xdr:to>
      <xdr:col>11</xdr:col>
      <xdr:colOff>419100</xdr:colOff>
      <xdr:row>27</xdr:row>
      <xdr:rowOff>66675</xdr:rowOff>
    </xdr:to>
    <xdr:grpSp>
      <xdr:nvGrpSpPr>
        <xdr:cNvPr id="4851853" name="Group 5"/>
        <xdr:cNvGrpSpPr>
          <a:grpSpLocks/>
        </xdr:cNvGrpSpPr>
      </xdr:nvGrpSpPr>
      <xdr:grpSpPr bwMode="auto">
        <a:xfrm>
          <a:off x="252942" y="1819275"/>
          <a:ext cx="6939491" cy="3676650"/>
          <a:chOff x="257175" y="1781175"/>
          <a:chExt cx="6917267" cy="3676650"/>
        </a:xfrm>
      </xdr:grpSpPr>
      <xdr:grpSp>
        <xdr:nvGrpSpPr>
          <xdr:cNvPr id="4851854" name="Group 4"/>
          <xdr:cNvGrpSpPr>
            <a:grpSpLocks/>
          </xdr:cNvGrpSpPr>
        </xdr:nvGrpSpPr>
        <xdr:grpSpPr bwMode="auto">
          <a:xfrm>
            <a:off x="257175" y="1781175"/>
            <a:ext cx="6917267" cy="3676650"/>
            <a:chOff x="257175" y="1781175"/>
            <a:chExt cx="6917267" cy="3676650"/>
          </a:xfrm>
        </xdr:grpSpPr>
        <xdr:pic>
          <xdr:nvPicPr>
            <xdr:cNvPr id="3616733" name="Picture 5"/>
            <xdr:cNvPicPr>
              <a:picLocks noChangeAspect="1"/>
            </xdr:cNvPicPr>
          </xdr:nvPicPr>
          <xdr:blipFill>
            <a:blip xmlns:r="http://schemas.openxmlformats.org/officeDocument/2006/relationships" r:embed="rId7"/>
            <a:srcRect/>
            <a:stretch>
              <a:fillRect/>
            </a:stretch>
          </xdr:blipFill>
          <xdr:spPr bwMode="auto">
            <a:xfrm>
              <a:off x="257175" y="1781175"/>
              <a:ext cx="6917267" cy="36766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32" name="Rectangle 31"/>
            <xdr:cNvSpPr/>
          </xdr:nvSpPr>
          <xdr:spPr bwMode="auto">
            <a:xfrm>
              <a:off x="1524388" y="2495550"/>
              <a:ext cx="819401" cy="26670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34" name="Rectangle 33"/>
            <xdr:cNvSpPr/>
          </xdr:nvSpPr>
          <xdr:spPr bwMode="auto">
            <a:xfrm>
              <a:off x="266703" y="2209800"/>
              <a:ext cx="466868" cy="13335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pic>
          <xdr:nvPicPr>
            <xdr:cNvPr id="4851859" name="Picture 2"/>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085975" y="2647950"/>
              <a:ext cx="85714" cy="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38" name="Rectangle 37"/>
          <xdr:cNvSpPr/>
        </xdr:nvSpPr>
        <xdr:spPr bwMode="auto">
          <a:xfrm>
            <a:off x="895545" y="1924050"/>
            <a:ext cx="1181462" cy="16192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0</xdr:rowOff>
    </xdr:from>
    <xdr:to>
      <xdr:col>24</xdr:col>
      <xdr:colOff>21167</xdr:colOff>
      <xdr:row>1</xdr:row>
      <xdr:rowOff>137750</xdr:rowOff>
    </xdr:to>
    <xdr:sp macro="" textlink="">
      <xdr:nvSpPr>
        <xdr:cNvPr id="5" name="com_bar"/>
        <xdr:cNvSpPr>
          <a:spLocks noChangeArrowheads="1"/>
        </xdr:cNvSpPr>
      </xdr:nvSpPr>
      <xdr:spPr bwMode="auto">
        <a:xfrm>
          <a:off x="0" y="0"/>
          <a:ext cx="16129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Drag &amp; drop tickers from Bloomberg directly into Excel</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1</xdr:col>
      <xdr:colOff>123825</xdr:colOff>
      <xdr:row>6</xdr:row>
      <xdr:rowOff>38100</xdr:rowOff>
    </xdr:from>
    <xdr:to>
      <xdr:col>15</xdr:col>
      <xdr:colOff>600075</xdr:colOff>
      <xdr:row>35</xdr:row>
      <xdr:rowOff>104775</xdr:rowOff>
    </xdr:to>
    <xdr:pic>
      <xdr:nvPicPr>
        <xdr:cNvPr id="4420711" name="Picture 1"/>
        <xdr:cNvPicPr>
          <a:picLocks noChangeAspect="1"/>
        </xdr:cNvPicPr>
      </xdr:nvPicPr>
      <xdr:blipFill>
        <a:blip xmlns:r="http://schemas.openxmlformats.org/officeDocument/2006/relationships" r:embed="rId1"/>
        <a:srcRect/>
        <a:stretch>
          <a:fillRect/>
        </a:stretch>
      </xdr:blipFill>
      <xdr:spPr bwMode="auto">
        <a:xfrm>
          <a:off x="371475" y="1314450"/>
          <a:ext cx="8877300" cy="55911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15</xdr:col>
      <xdr:colOff>539749</xdr:colOff>
      <xdr:row>5</xdr:row>
      <xdr:rowOff>37963</xdr:rowOff>
    </xdr:from>
    <xdr:to>
      <xdr:col>16</xdr:col>
      <xdr:colOff>914400</xdr:colOff>
      <xdr:row>12</xdr:row>
      <xdr:rowOff>152403</xdr:rowOff>
    </xdr:to>
    <xdr:pic>
      <xdr:nvPicPr>
        <xdr:cNvPr id="2059386" name="Picture 15" descr="C:\temp\Temporary Internet Files\Content.IE5\YDX1DO08\MC900439805[1].png"/>
        <xdr:cNvPicPr>
          <a:picLocks noChangeAspect="1" noChangeArrowheads="1"/>
        </xdr:cNvPicPr>
      </xdr:nvPicPr>
      <xdr:blipFill>
        <a:blip xmlns:r="http://schemas.openxmlformats.org/officeDocument/2006/relationships" r:embed="rId2">
          <a:duotone>
            <a:schemeClr val="accent1">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5400000">
          <a:off x="9454022" y="606357"/>
          <a:ext cx="1447940" cy="1898651"/>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30</xdr:col>
      <xdr:colOff>464343</xdr:colOff>
      <xdr:row>1</xdr:row>
      <xdr:rowOff>137750</xdr:rowOff>
    </xdr:to>
    <xdr:sp macro="" textlink="">
      <xdr:nvSpPr>
        <xdr:cNvPr id="14" name="com_bar"/>
        <xdr:cNvSpPr>
          <a:spLocks noChangeArrowheads="1"/>
        </xdr:cNvSpPr>
      </xdr:nvSpPr>
      <xdr:spPr bwMode="auto">
        <a:xfrm>
          <a:off x="0" y="0"/>
          <a:ext cx="18407062" cy="352063"/>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Free premade Spreadsheets and getting HELP</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1</xdr:col>
      <xdr:colOff>38100</xdr:colOff>
      <xdr:row>5</xdr:row>
      <xdr:rowOff>38100</xdr:rowOff>
    </xdr:from>
    <xdr:to>
      <xdr:col>20</xdr:col>
      <xdr:colOff>266700</xdr:colOff>
      <xdr:row>28</xdr:row>
      <xdr:rowOff>180975</xdr:rowOff>
    </xdr:to>
    <xdr:pic>
      <xdr:nvPicPr>
        <xdr:cNvPr id="3434478" name="Picture 6"/>
        <xdr:cNvPicPr>
          <a:picLocks noChangeAspect="1"/>
        </xdr:cNvPicPr>
      </xdr:nvPicPr>
      <xdr:blipFill>
        <a:blip xmlns:r="http://schemas.openxmlformats.org/officeDocument/2006/relationships" r:embed="rId1"/>
        <a:srcRect/>
        <a:stretch>
          <a:fillRect/>
        </a:stretch>
      </xdr:blipFill>
      <xdr:spPr bwMode="auto">
        <a:xfrm>
          <a:off x="285750" y="1152525"/>
          <a:ext cx="12039600" cy="46005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515560</xdr:colOff>
      <xdr:row>37</xdr:row>
      <xdr:rowOff>27660</xdr:rowOff>
    </xdr:from>
    <xdr:to>
      <xdr:col>15</xdr:col>
      <xdr:colOff>462643</xdr:colOff>
      <xdr:row>65</xdr:row>
      <xdr:rowOff>128118</xdr:rowOff>
    </xdr:to>
    <xdr:pic>
      <xdr:nvPicPr>
        <xdr:cNvPr id="3434480" name="Picture 10"/>
        <xdr:cNvPicPr>
          <a:picLocks noChangeAspect="1"/>
        </xdr:cNvPicPr>
      </xdr:nvPicPr>
      <xdr:blipFill>
        <a:blip xmlns:r="http://schemas.openxmlformats.org/officeDocument/2006/relationships" r:embed="rId2"/>
        <a:srcRect/>
        <a:stretch>
          <a:fillRect/>
        </a:stretch>
      </xdr:blipFill>
      <xdr:spPr bwMode="auto">
        <a:xfrm>
          <a:off x="1359203" y="7511589"/>
          <a:ext cx="8152190" cy="5733815"/>
        </a:xfrm>
        <a:prstGeom prst="rect">
          <a:avLst/>
        </a:prstGeom>
        <a:noFill/>
        <a:ln w="9525">
          <a:solidFill>
            <a:srgbClr val="0070C0"/>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581025</xdr:colOff>
      <xdr:row>14</xdr:row>
      <xdr:rowOff>180975</xdr:rowOff>
    </xdr:from>
    <xdr:to>
      <xdr:col>20</xdr:col>
      <xdr:colOff>85725</xdr:colOff>
      <xdr:row>33</xdr:row>
      <xdr:rowOff>47625</xdr:rowOff>
    </xdr:to>
    <xdr:pic>
      <xdr:nvPicPr>
        <xdr:cNvPr id="3434481" name="Picture 17"/>
        <xdr:cNvPicPr>
          <a:picLocks noChangeAspect="1"/>
        </xdr:cNvPicPr>
      </xdr:nvPicPr>
      <xdr:blipFill>
        <a:blip xmlns:r="http://schemas.openxmlformats.org/officeDocument/2006/relationships" r:embed="rId3"/>
        <a:srcRect/>
        <a:stretch>
          <a:fillRect/>
        </a:stretch>
      </xdr:blipFill>
      <xdr:spPr bwMode="auto">
        <a:xfrm>
          <a:off x="6878108" y="3017308"/>
          <a:ext cx="5314950" cy="3560234"/>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353474</xdr:colOff>
      <xdr:row>47</xdr:row>
      <xdr:rowOff>44297</xdr:rowOff>
    </xdr:from>
    <xdr:to>
      <xdr:col>26</xdr:col>
      <xdr:colOff>441093</xdr:colOff>
      <xdr:row>75</xdr:row>
      <xdr:rowOff>49439</xdr:rowOff>
    </xdr:to>
    <xdr:pic>
      <xdr:nvPicPr>
        <xdr:cNvPr id="3434482" name="Picture 44"/>
        <xdr:cNvPicPr>
          <a:picLocks noChangeAspect="1"/>
        </xdr:cNvPicPr>
      </xdr:nvPicPr>
      <xdr:blipFill>
        <a:blip xmlns:r="http://schemas.openxmlformats.org/officeDocument/2006/relationships" r:embed="rId4"/>
        <a:srcRect/>
        <a:stretch>
          <a:fillRect/>
        </a:stretch>
      </xdr:blipFill>
      <xdr:spPr bwMode="auto">
        <a:xfrm>
          <a:off x="6626367" y="9487654"/>
          <a:ext cx="9449333" cy="5720142"/>
        </a:xfrm>
        <a:prstGeom prst="rect">
          <a:avLst/>
        </a:prstGeom>
        <a:noFill/>
        <a:ln w="9525">
          <a:no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504825</xdr:colOff>
      <xdr:row>14</xdr:row>
      <xdr:rowOff>180975</xdr:rowOff>
    </xdr:from>
    <xdr:to>
      <xdr:col>9</xdr:col>
      <xdr:colOff>495300</xdr:colOff>
      <xdr:row>33</xdr:row>
      <xdr:rowOff>38100</xdr:rowOff>
    </xdr:to>
    <xdr:grpSp>
      <xdr:nvGrpSpPr>
        <xdr:cNvPr id="4712031" name="Group 2"/>
        <xdr:cNvGrpSpPr>
          <a:grpSpLocks/>
        </xdr:cNvGrpSpPr>
      </xdr:nvGrpSpPr>
      <xdr:grpSpPr bwMode="auto">
        <a:xfrm>
          <a:off x="1350169" y="3074194"/>
          <a:ext cx="4800600" cy="3548062"/>
          <a:chOff x="1331384" y="2915706"/>
          <a:chExt cx="4819650" cy="3554314"/>
        </a:xfrm>
      </xdr:grpSpPr>
      <xdr:pic>
        <xdr:nvPicPr>
          <xdr:cNvPr id="3782449" name="Picture 9"/>
          <xdr:cNvPicPr>
            <a:picLocks noChangeAspect="1"/>
          </xdr:cNvPicPr>
        </xdr:nvPicPr>
        <xdr:blipFill>
          <a:blip xmlns:r="http://schemas.openxmlformats.org/officeDocument/2006/relationships" r:embed="rId5"/>
          <a:srcRect/>
          <a:stretch>
            <a:fillRect/>
          </a:stretch>
        </xdr:blipFill>
        <xdr:spPr bwMode="auto">
          <a:xfrm>
            <a:off x="1331384" y="2915706"/>
            <a:ext cx="4819650" cy="3554314"/>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 name="Rounded Rectangle 1"/>
          <xdr:cNvSpPr/>
        </xdr:nvSpPr>
        <xdr:spPr>
          <a:xfrm>
            <a:off x="1760009" y="5288425"/>
            <a:ext cx="1590675" cy="133406"/>
          </a:xfrm>
          <a:prstGeom prst="roundRect">
            <a:avLst/>
          </a:prstGeom>
          <a:noFill/>
          <a:ln w="19050">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3</xdr:col>
      <xdr:colOff>538695</xdr:colOff>
      <xdr:row>27</xdr:row>
      <xdr:rowOff>138626</xdr:rowOff>
    </xdr:from>
    <xdr:to>
      <xdr:col>4</xdr:col>
      <xdr:colOff>323854</xdr:colOff>
      <xdr:row>36</xdr:row>
      <xdr:rowOff>148154</xdr:rowOff>
    </xdr:to>
    <xdr:sp macro="" textlink="">
      <xdr:nvSpPr>
        <xdr:cNvPr id="37" name="Up Arrow 36"/>
        <xdr:cNvSpPr/>
      </xdr:nvSpPr>
      <xdr:spPr>
        <a:xfrm rot="10800000">
          <a:off x="1988612" y="5430293"/>
          <a:ext cx="388409" cy="1724028"/>
        </a:xfrm>
        <a:prstGeom prst="upArrow">
          <a:avLst/>
        </a:prstGeom>
        <a:solidFill>
          <a:srgbClr val="0070C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12</xdr:col>
      <xdr:colOff>17989</xdr:colOff>
      <xdr:row>4</xdr:row>
      <xdr:rowOff>121699</xdr:rowOff>
    </xdr:from>
    <xdr:to>
      <xdr:col>13</xdr:col>
      <xdr:colOff>21164</xdr:colOff>
      <xdr:row>7</xdr:row>
      <xdr:rowOff>86775</xdr:rowOff>
    </xdr:to>
    <xdr:sp macro="" textlink="">
      <xdr:nvSpPr>
        <xdr:cNvPr id="20" name="Up Arrow 19"/>
        <xdr:cNvSpPr/>
      </xdr:nvSpPr>
      <xdr:spPr>
        <a:xfrm rot="13225730">
          <a:off x="7521572" y="947199"/>
          <a:ext cx="384175" cy="705909"/>
        </a:xfrm>
        <a:prstGeom prst="upArrow">
          <a:avLst/>
        </a:prstGeom>
        <a:solidFill>
          <a:srgbClr val="00B05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13</xdr:col>
      <xdr:colOff>14285</xdr:colOff>
      <xdr:row>10</xdr:row>
      <xdr:rowOff>39688</xdr:rowOff>
    </xdr:from>
    <xdr:to>
      <xdr:col>21</xdr:col>
      <xdr:colOff>190502</xdr:colOff>
      <xdr:row>12</xdr:row>
      <xdr:rowOff>47097</xdr:rowOff>
    </xdr:to>
    <xdr:sp macro="" textlink="">
      <xdr:nvSpPr>
        <xdr:cNvPr id="17" name="Up Arrow 16"/>
        <xdr:cNvSpPr/>
      </xdr:nvSpPr>
      <xdr:spPr>
        <a:xfrm rot="5400000">
          <a:off x="10166614" y="-187591"/>
          <a:ext cx="388409" cy="4976817"/>
        </a:xfrm>
        <a:prstGeom prst="upArrow">
          <a:avLst/>
        </a:prstGeom>
        <a:solidFill>
          <a:srgbClr val="00B05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3</xdr:col>
      <xdr:colOff>495300</xdr:colOff>
      <xdr:row>7</xdr:row>
      <xdr:rowOff>180975</xdr:rowOff>
    </xdr:from>
    <xdr:to>
      <xdr:col>4</xdr:col>
      <xdr:colOff>466725</xdr:colOff>
      <xdr:row>14</xdr:row>
      <xdr:rowOff>133350</xdr:rowOff>
    </xdr:to>
    <xdr:grpSp>
      <xdr:nvGrpSpPr>
        <xdr:cNvPr id="4712035" name="Group 5"/>
        <xdr:cNvGrpSpPr>
          <a:grpSpLocks/>
        </xdr:cNvGrpSpPr>
      </xdr:nvGrpSpPr>
      <xdr:grpSpPr bwMode="auto">
        <a:xfrm>
          <a:off x="1935956" y="1740694"/>
          <a:ext cx="566738" cy="1285875"/>
          <a:chOff x="1947333" y="1682750"/>
          <a:chExt cx="571500" cy="1291166"/>
        </a:xfrm>
      </xdr:grpSpPr>
      <xdr:sp macro="" textlink="">
        <xdr:nvSpPr>
          <xdr:cNvPr id="34" name="Up Arrow 33"/>
          <xdr:cNvSpPr/>
        </xdr:nvSpPr>
        <xdr:spPr>
          <a:xfrm rot="10800000">
            <a:off x="2052108" y="2380936"/>
            <a:ext cx="390525" cy="592980"/>
          </a:xfrm>
          <a:prstGeom prst="upArrow">
            <a:avLst/>
          </a:prstGeom>
          <a:solidFill>
            <a:srgbClr val="0070C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3" name="Rectangle 2"/>
          <xdr:cNvSpPr/>
        </xdr:nvSpPr>
        <xdr:spPr>
          <a:xfrm>
            <a:off x="1947333" y="1682750"/>
            <a:ext cx="571500" cy="688622"/>
          </a:xfrm>
          <a:prstGeom prst="rect">
            <a:avLst/>
          </a:prstGeom>
          <a:noFill/>
          <a:ln w="190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11</xdr:col>
      <xdr:colOff>232553</xdr:colOff>
      <xdr:row>11</xdr:row>
      <xdr:rowOff>127001</xdr:rowOff>
    </xdr:from>
    <xdr:to>
      <xdr:col>12</xdr:col>
      <xdr:colOff>14114</xdr:colOff>
      <xdr:row>14</xdr:row>
      <xdr:rowOff>144992</xdr:rowOff>
    </xdr:to>
    <xdr:sp macro="" textlink="">
      <xdr:nvSpPr>
        <xdr:cNvPr id="18" name="Up Arrow 17"/>
        <xdr:cNvSpPr/>
      </xdr:nvSpPr>
      <xdr:spPr>
        <a:xfrm rot="10800000">
          <a:off x="7109603" y="2384426"/>
          <a:ext cx="381636" cy="589491"/>
        </a:xfrm>
        <a:prstGeom prst="upArrow">
          <a:avLst/>
        </a:prstGeom>
        <a:solidFill>
          <a:srgbClr val="00B05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11</xdr:col>
      <xdr:colOff>228599</xdr:colOff>
      <xdr:row>7</xdr:row>
      <xdr:rowOff>169335</xdr:rowOff>
    </xdr:from>
    <xdr:to>
      <xdr:col>11</xdr:col>
      <xdr:colOff>600074</xdr:colOff>
      <xdr:row>11</xdr:row>
      <xdr:rowOff>131235</xdr:rowOff>
    </xdr:to>
    <xdr:sp macro="" textlink="">
      <xdr:nvSpPr>
        <xdr:cNvPr id="19" name="Rectangle 18"/>
        <xdr:cNvSpPr/>
      </xdr:nvSpPr>
      <xdr:spPr>
        <a:xfrm>
          <a:off x="7105649" y="1664760"/>
          <a:ext cx="371475" cy="723900"/>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12</xdr:col>
      <xdr:colOff>28574</xdr:colOff>
      <xdr:row>7</xdr:row>
      <xdr:rowOff>169335</xdr:rowOff>
    </xdr:from>
    <xdr:to>
      <xdr:col>13</xdr:col>
      <xdr:colOff>19049</xdr:colOff>
      <xdr:row>11</xdr:row>
      <xdr:rowOff>131235</xdr:rowOff>
    </xdr:to>
    <xdr:sp macro="" textlink="">
      <xdr:nvSpPr>
        <xdr:cNvPr id="23" name="Rectangle 22"/>
        <xdr:cNvSpPr/>
      </xdr:nvSpPr>
      <xdr:spPr>
        <a:xfrm>
          <a:off x="7505699" y="1664760"/>
          <a:ext cx="371475" cy="723900"/>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15</xdr:col>
      <xdr:colOff>542925</xdr:colOff>
      <xdr:row>8</xdr:row>
      <xdr:rowOff>123825</xdr:rowOff>
    </xdr:from>
    <xdr:to>
      <xdr:col>19</xdr:col>
      <xdr:colOff>323850</xdr:colOff>
      <xdr:row>11</xdr:row>
      <xdr:rowOff>57150</xdr:rowOff>
    </xdr:to>
    <xdr:sp macro="" textlink="">
      <xdr:nvSpPr>
        <xdr:cNvPr id="7" name="TextBox 6"/>
        <xdr:cNvSpPr txBox="1"/>
      </xdr:nvSpPr>
      <xdr:spPr>
        <a:xfrm>
          <a:off x="9601200" y="1809750"/>
          <a:ext cx="2181225" cy="5048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050">
              <a:solidFill>
                <a:srgbClr val="009900"/>
              </a:solidFill>
            </a:rPr>
            <a:t>Our HELP pages ... enter any</a:t>
          </a:r>
          <a:r>
            <a:rPr lang="en-GB" sz="1050" baseline="0">
              <a:solidFill>
                <a:srgbClr val="009900"/>
              </a:solidFill>
            </a:rPr>
            <a:t> key </a:t>
          </a:r>
          <a:br>
            <a:rPr lang="en-GB" sz="1050" baseline="0">
              <a:solidFill>
                <a:srgbClr val="009900"/>
              </a:solidFill>
            </a:rPr>
          </a:br>
          <a:r>
            <a:rPr lang="en-GB" sz="1050" baseline="0">
              <a:solidFill>
                <a:srgbClr val="009900"/>
              </a:solidFill>
            </a:rPr>
            <a:t>word in the yellow box for answers</a:t>
          </a:r>
          <a:endParaRPr lang="en-GB" sz="1050">
            <a:solidFill>
              <a:srgbClr val="009900"/>
            </a:solidFill>
          </a:endParaRPr>
        </a:p>
      </xdr:txBody>
    </xdr:sp>
    <xdr:clientData/>
  </xdr:twoCellAnchor>
  <xdr:twoCellAnchor editAs="oneCell">
    <xdr:from>
      <xdr:col>21</xdr:col>
      <xdr:colOff>238126</xdr:colOff>
      <xdr:row>8</xdr:row>
      <xdr:rowOff>66675</xdr:rowOff>
    </xdr:from>
    <xdr:to>
      <xdr:col>30</xdr:col>
      <xdr:colOff>506378</xdr:colOff>
      <xdr:row>33</xdr:row>
      <xdr:rowOff>47625</xdr:rowOff>
    </xdr:to>
    <xdr:pic>
      <xdr:nvPicPr>
        <xdr:cNvPr id="8" name="Picture 7"/>
        <xdr:cNvPicPr>
          <a:picLocks noChangeAspect="1"/>
        </xdr:cNvPicPr>
      </xdr:nvPicPr>
      <xdr:blipFill>
        <a:blip xmlns:r="http://schemas.openxmlformats.org/officeDocument/2006/relationships" r:embed="rId6"/>
        <a:stretch>
          <a:fillRect/>
        </a:stretch>
      </xdr:blipFill>
      <xdr:spPr>
        <a:xfrm>
          <a:off x="12896851" y="1752600"/>
          <a:ext cx="5668927" cy="4819650"/>
        </a:xfrm>
        <a:prstGeom prst="rect">
          <a:avLst/>
        </a:prstGeom>
        <a:effectLst>
          <a:outerShdw blurRad="50800" dist="38100" dir="2700000" algn="tl" rotWithShape="0">
            <a:prstClr val="black">
              <a:alpha val="40000"/>
            </a:prstClr>
          </a:outerShdw>
        </a:effec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3</xdr:col>
      <xdr:colOff>76201</xdr:colOff>
      <xdr:row>47</xdr:row>
      <xdr:rowOff>0</xdr:rowOff>
    </xdr:from>
    <xdr:to>
      <xdr:col>3</xdr:col>
      <xdr:colOff>400050</xdr:colOff>
      <xdr:row>47</xdr:row>
      <xdr:rowOff>190499</xdr:rowOff>
    </xdr:to>
    <xdr:sp macro="" textlink="">
      <xdr:nvSpPr>
        <xdr:cNvPr id="3" name="Rounded Rectangle 2"/>
        <xdr:cNvSpPr/>
      </xdr:nvSpPr>
      <xdr:spPr>
        <a:xfrm>
          <a:off x="1533526" y="1524000"/>
          <a:ext cx="323849" cy="190499"/>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3</xdr:col>
      <xdr:colOff>76201</xdr:colOff>
      <xdr:row>48</xdr:row>
      <xdr:rowOff>0</xdr:rowOff>
    </xdr:from>
    <xdr:to>
      <xdr:col>3</xdr:col>
      <xdr:colOff>400050</xdr:colOff>
      <xdr:row>48</xdr:row>
      <xdr:rowOff>190499</xdr:rowOff>
    </xdr:to>
    <xdr:sp macro="" textlink="">
      <xdr:nvSpPr>
        <xdr:cNvPr id="6" name="Rounded Rectangle 5"/>
        <xdr:cNvSpPr/>
      </xdr:nvSpPr>
      <xdr:spPr>
        <a:xfrm>
          <a:off x="1533526" y="1714500"/>
          <a:ext cx="323849" cy="190499"/>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3</xdr:col>
      <xdr:colOff>76201</xdr:colOff>
      <xdr:row>49</xdr:row>
      <xdr:rowOff>0</xdr:rowOff>
    </xdr:from>
    <xdr:to>
      <xdr:col>3</xdr:col>
      <xdr:colOff>400050</xdr:colOff>
      <xdr:row>49</xdr:row>
      <xdr:rowOff>190499</xdr:rowOff>
    </xdr:to>
    <xdr:sp macro="" textlink="">
      <xdr:nvSpPr>
        <xdr:cNvPr id="7" name="Rounded Rectangle 6"/>
        <xdr:cNvSpPr/>
      </xdr:nvSpPr>
      <xdr:spPr>
        <a:xfrm>
          <a:off x="1533526" y="1905000"/>
          <a:ext cx="323849" cy="190499"/>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3</xdr:col>
      <xdr:colOff>76201</xdr:colOff>
      <xdr:row>50</xdr:row>
      <xdr:rowOff>0</xdr:rowOff>
    </xdr:from>
    <xdr:to>
      <xdr:col>3</xdr:col>
      <xdr:colOff>400050</xdr:colOff>
      <xdr:row>50</xdr:row>
      <xdr:rowOff>190499</xdr:rowOff>
    </xdr:to>
    <xdr:sp macro="" textlink="">
      <xdr:nvSpPr>
        <xdr:cNvPr id="8" name="Rounded Rectangle 7"/>
        <xdr:cNvSpPr/>
      </xdr:nvSpPr>
      <xdr:spPr>
        <a:xfrm>
          <a:off x="1533526" y="2095500"/>
          <a:ext cx="323849" cy="190499"/>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8</xdr:col>
      <xdr:colOff>13760</xdr:colOff>
      <xdr:row>44</xdr:row>
      <xdr:rowOff>190499</xdr:rowOff>
    </xdr:from>
    <xdr:to>
      <xdr:col>8</xdr:col>
      <xdr:colOff>373760</xdr:colOff>
      <xdr:row>45</xdr:row>
      <xdr:rowOff>179999</xdr:rowOff>
    </xdr:to>
    <xdr:sp macro="" textlink="">
      <xdr:nvSpPr>
        <xdr:cNvPr id="27" name="Rounded Rectangle 26"/>
        <xdr:cNvSpPr/>
      </xdr:nvSpPr>
      <xdr:spPr>
        <a:xfrm>
          <a:off x="6427260" y="8921749"/>
          <a:ext cx="360000" cy="180000"/>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3</xdr:col>
      <xdr:colOff>123825</xdr:colOff>
      <xdr:row>38</xdr:row>
      <xdr:rowOff>94273</xdr:rowOff>
    </xdr:from>
    <xdr:to>
      <xdr:col>4</xdr:col>
      <xdr:colOff>405839</xdr:colOff>
      <xdr:row>38</xdr:row>
      <xdr:rowOff>95250</xdr:rowOff>
    </xdr:to>
    <xdr:cxnSp macro="">
      <xdr:nvCxnSpPr>
        <xdr:cNvPr id="33" name="Straight Arrow Connector 32"/>
        <xdr:cNvCxnSpPr/>
      </xdr:nvCxnSpPr>
      <xdr:spPr>
        <a:xfrm flipV="1">
          <a:off x="2819400" y="7418998"/>
          <a:ext cx="967814" cy="977"/>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5911</xdr:colOff>
      <xdr:row>45</xdr:row>
      <xdr:rowOff>2956</xdr:rowOff>
    </xdr:from>
    <xdr:to>
      <xdr:col>9</xdr:col>
      <xdr:colOff>365911</xdr:colOff>
      <xdr:row>46</xdr:row>
      <xdr:rowOff>2955</xdr:rowOff>
    </xdr:to>
    <xdr:sp macro="" textlink="">
      <xdr:nvSpPr>
        <xdr:cNvPr id="36" name="Rounded Rectangle 35"/>
        <xdr:cNvSpPr/>
      </xdr:nvSpPr>
      <xdr:spPr>
        <a:xfrm>
          <a:off x="7350744" y="8924706"/>
          <a:ext cx="360000" cy="190499"/>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800" i="1">
              <a:solidFill>
                <a:sysClr val="windowText" lastClr="000000"/>
              </a:solidFill>
              <a:latin typeface="Arial" pitchFamily="34" charset="0"/>
              <a:cs typeface="Arial" pitchFamily="34" charset="0"/>
            </a:rPr>
            <a:t>F4</a:t>
          </a:r>
        </a:p>
      </xdr:txBody>
    </xdr:sp>
    <xdr:clientData/>
  </xdr:twoCellAnchor>
  <xdr:twoCellAnchor>
    <xdr:from>
      <xdr:col>8</xdr:col>
      <xdr:colOff>85725</xdr:colOff>
      <xdr:row>53</xdr:row>
      <xdr:rowOff>142875</xdr:rowOff>
    </xdr:from>
    <xdr:to>
      <xdr:col>9</xdr:col>
      <xdr:colOff>847725</xdr:colOff>
      <xdr:row>55</xdr:row>
      <xdr:rowOff>57150</xdr:rowOff>
    </xdr:to>
    <xdr:grpSp>
      <xdr:nvGrpSpPr>
        <xdr:cNvPr id="4860985" name="Group 67"/>
        <xdr:cNvGrpSpPr>
          <a:grpSpLocks/>
        </xdr:cNvGrpSpPr>
      </xdr:nvGrpSpPr>
      <xdr:grpSpPr bwMode="auto">
        <a:xfrm>
          <a:off x="6499225" y="10588625"/>
          <a:ext cx="1693333" cy="295275"/>
          <a:chOff x="5672979" y="11544300"/>
          <a:chExt cx="1382402" cy="295275"/>
        </a:xfrm>
      </xdr:grpSpPr>
      <xdr:grpSp>
        <xdr:nvGrpSpPr>
          <xdr:cNvPr id="4861007" name="Group 68"/>
          <xdr:cNvGrpSpPr>
            <a:grpSpLocks/>
          </xdr:cNvGrpSpPr>
        </xdr:nvGrpSpPr>
        <xdr:grpSpPr bwMode="auto">
          <a:xfrm>
            <a:off x="5672979" y="11544300"/>
            <a:ext cx="840316" cy="295275"/>
            <a:chOff x="5672979" y="11544300"/>
            <a:chExt cx="840316" cy="295275"/>
          </a:xfrm>
        </xdr:grpSpPr>
        <xdr:sp macro="" textlink="">
          <xdr:nvSpPr>
            <xdr:cNvPr id="73" name="TextBox 72"/>
            <xdr:cNvSpPr txBox="1"/>
          </xdr:nvSpPr>
          <xdr:spPr>
            <a:xfrm>
              <a:off x="6037995" y="11563350"/>
              <a:ext cx="473745" cy="2667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200">
                  <a:solidFill>
                    <a:schemeClr val="tx2">
                      <a:lumMod val="60000"/>
                      <a:lumOff val="40000"/>
                    </a:schemeClr>
                  </a:solidFill>
                </a:rPr>
                <a:t>X</a:t>
              </a:r>
              <a:r>
                <a:rPr lang="en-GB" sz="1600">
                  <a:solidFill>
                    <a:schemeClr val="tx2">
                      <a:lumMod val="60000"/>
                      <a:lumOff val="40000"/>
                    </a:schemeClr>
                  </a:solidFill>
                </a:rPr>
                <a:t>3</a:t>
              </a:r>
            </a:p>
          </xdr:txBody>
        </xdr:sp>
        <xdr:sp macro="" textlink="">
          <xdr:nvSpPr>
            <xdr:cNvPr id="74" name="Rounded Rectangle 73"/>
            <xdr:cNvSpPr/>
          </xdr:nvSpPr>
          <xdr:spPr>
            <a:xfrm>
              <a:off x="5672979" y="11544300"/>
              <a:ext cx="388315"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nvGrpSpPr>
          <xdr:cNvPr id="4861008" name="Group 69"/>
          <xdr:cNvGrpSpPr>
            <a:grpSpLocks/>
          </xdr:cNvGrpSpPr>
        </xdr:nvGrpSpPr>
        <xdr:grpSpPr bwMode="auto">
          <a:xfrm>
            <a:off x="6396186" y="11544300"/>
            <a:ext cx="659195" cy="295275"/>
            <a:chOff x="5681811" y="11544300"/>
            <a:chExt cx="659195" cy="295275"/>
          </a:xfrm>
        </xdr:grpSpPr>
        <xdr:sp macro="" textlink="">
          <xdr:nvSpPr>
            <xdr:cNvPr id="71" name="TextBox 70"/>
            <xdr:cNvSpPr txBox="1"/>
          </xdr:nvSpPr>
          <xdr:spPr>
            <a:xfrm>
              <a:off x="5999289" y="11563350"/>
              <a:ext cx="341717" cy="2667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n-GB" sz="1100">
                  <a:solidFill>
                    <a:schemeClr val="tx2">
                      <a:lumMod val="60000"/>
                      <a:lumOff val="40000"/>
                    </a:schemeClr>
                  </a:solidFill>
                </a:rPr>
                <a:t>X</a:t>
              </a:r>
              <a:r>
                <a:rPr lang="en-GB" sz="1600">
                  <a:solidFill>
                    <a:schemeClr val="tx2">
                      <a:lumMod val="60000"/>
                      <a:lumOff val="40000"/>
                    </a:schemeClr>
                  </a:solidFill>
                </a:rPr>
                <a:t>2</a:t>
              </a:r>
            </a:p>
          </xdr:txBody>
        </xdr:sp>
        <xdr:sp macro="" textlink="">
          <xdr:nvSpPr>
            <xdr:cNvPr id="72" name="Rounded Rectangle 71"/>
            <xdr:cNvSpPr/>
          </xdr:nvSpPr>
          <xdr:spPr>
            <a:xfrm>
              <a:off x="5680870" y="11544300"/>
              <a:ext cx="388315"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clientData/>
  </xdr:twoCellAnchor>
  <xdr:twoCellAnchor>
    <xdr:from>
      <xdr:col>5</xdr:col>
      <xdr:colOff>266700</xdr:colOff>
      <xdr:row>34</xdr:row>
      <xdr:rowOff>104775</xdr:rowOff>
    </xdr:from>
    <xdr:to>
      <xdr:col>6</xdr:col>
      <xdr:colOff>85725</xdr:colOff>
      <xdr:row>34</xdr:row>
      <xdr:rowOff>104776</xdr:rowOff>
    </xdr:to>
    <xdr:cxnSp macro="">
      <xdr:nvCxnSpPr>
        <xdr:cNvPr id="43" name="Straight Arrow Connector 42"/>
        <xdr:cNvCxnSpPr/>
      </xdr:nvCxnSpPr>
      <xdr:spPr>
        <a:xfrm flipH="1">
          <a:off x="4181475" y="6457950"/>
          <a:ext cx="419100" cy="1"/>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266700</xdr:colOff>
      <xdr:row>35</xdr:row>
      <xdr:rowOff>104775</xdr:rowOff>
    </xdr:from>
    <xdr:to>
      <xdr:col>6</xdr:col>
      <xdr:colOff>85725</xdr:colOff>
      <xdr:row>35</xdr:row>
      <xdr:rowOff>104776</xdr:rowOff>
    </xdr:to>
    <xdr:cxnSp macro="">
      <xdr:nvCxnSpPr>
        <xdr:cNvPr id="47" name="Straight Arrow Connector 46"/>
        <xdr:cNvCxnSpPr/>
      </xdr:nvCxnSpPr>
      <xdr:spPr>
        <a:xfrm flipH="1">
          <a:off x="4181475" y="6648450"/>
          <a:ext cx="419100" cy="1"/>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314325</xdr:colOff>
      <xdr:row>63</xdr:row>
      <xdr:rowOff>161925</xdr:rowOff>
    </xdr:from>
    <xdr:to>
      <xdr:col>11</xdr:col>
      <xdr:colOff>704850</xdr:colOff>
      <xdr:row>65</xdr:row>
      <xdr:rowOff>76200</xdr:rowOff>
    </xdr:to>
    <xdr:grpSp>
      <xdr:nvGrpSpPr>
        <xdr:cNvPr id="4860988" name="Group 1"/>
        <xdr:cNvGrpSpPr>
          <a:grpSpLocks/>
        </xdr:cNvGrpSpPr>
      </xdr:nvGrpSpPr>
      <xdr:grpSpPr bwMode="auto">
        <a:xfrm>
          <a:off x="5478992" y="12512675"/>
          <a:ext cx="4179358" cy="295275"/>
          <a:chOff x="5686432" y="11658600"/>
          <a:chExt cx="3201677" cy="295275"/>
        </a:xfrm>
      </xdr:grpSpPr>
      <xdr:grpSp>
        <xdr:nvGrpSpPr>
          <xdr:cNvPr id="4860995" name="Group 780417"/>
          <xdr:cNvGrpSpPr>
            <a:grpSpLocks/>
          </xdr:cNvGrpSpPr>
        </xdr:nvGrpSpPr>
        <xdr:grpSpPr bwMode="auto">
          <a:xfrm>
            <a:off x="5686432" y="11658600"/>
            <a:ext cx="864908" cy="295275"/>
            <a:chOff x="5672979" y="11544300"/>
            <a:chExt cx="577135" cy="295275"/>
          </a:xfrm>
        </xdr:grpSpPr>
        <xdr:sp macro="" textlink="">
          <xdr:nvSpPr>
            <xdr:cNvPr id="24" name="TextBox 23"/>
            <xdr:cNvSpPr txBox="1"/>
          </xdr:nvSpPr>
          <xdr:spPr>
            <a:xfrm>
              <a:off x="5994171" y="11563350"/>
              <a:ext cx="257927" cy="2286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200">
                  <a:solidFill>
                    <a:schemeClr val="tx2">
                      <a:lumMod val="60000"/>
                      <a:lumOff val="40000"/>
                    </a:schemeClr>
                  </a:solidFill>
                </a:rPr>
                <a:t>X</a:t>
              </a:r>
              <a:r>
                <a:rPr lang="en-GB" sz="1600">
                  <a:solidFill>
                    <a:schemeClr val="tx2">
                      <a:lumMod val="60000"/>
                      <a:lumOff val="40000"/>
                    </a:schemeClr>
                  </a:solidFill>
                </a:rPr>
                <a:t>3</a:t>
              </a:r>
            </a:p>
          </xdr:txBody>
        </xdr:sp>
        <xdr:sp macro="" textlink="">
          <xdr:nvSpPr>
            <xdr:cNvPr id="20" name="Rounded Rectangle 19"/>
            <xdr:cNvSpPr/>
          </xdr:nvSpPr>
          <xdr:spPr>
            <a:xfrm>
              <a:off x="5672979" y="11544300"/>
              <a:ext cx="296859"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nvGrpSpPr>
          <xdr:cNvPr id="4860996" name="Group 780417"/>
          <xdr:cNvGrpSpPr>
            <a:grpSpLocks/>
          </xdr:cNvGrpSpPr>
        </xdr:nvGrpSpPr>
        <xdr:grpSpPr bwMode="auto">
          <a:xfrm>
            <a:off x="6498230" y="11658600"/>
            <a:ext cx="864908" cy="295275"/>
            <a:chOff x="5674429" y="11544300"/>
            <a:chExt cx="577135" cy="295275"/>
          </a:xfrm>
        </xdr:grpSpPr>
        <xdr:sp macro="" textlink="">
          <xdr:nvSpPr>
            <xdr:cNvPr id="51" name="TextBox 50"/>
            <xdr:cNvSpPr txBox="1"/>
          </xdr:nvSpPr>
          <xdr:spPr>
            <a:xfrm>
              <a:off x="5989244" y="11563350"/>
              <a:ext cx="262793" cy="2286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200">
                  <a:solidFill>
                    <a:schemeClr val="tx2">
                      <a:lumMod val="60000"/>
                      <a:lumOff val="40000"/>
                    </a:schemeClr>
                  </a:solidFill>
                </a:rPr>
                <a:t>X</a:t>
              </a:r>
              <a:r>
                <a:rPr lang="en-GB" sz="1600">
                  <a:solidFill>
                    <a:schemeClr val="tx2">
                      <a:lumMod val="60000"/>
                      <a:lumOff val="40000"/>
                    </a:schemeClr>
                  </a:solidFill>
                </a:rPr>
                <a:t>2</a:t>
              </a:r>
            </a:p>
          </xdr:txBody>
        </xdr:sp>
        <xdr:sp macro="" textlink="">
          <xdr:nvSpPr>
            <xdr:cNvPr id="52" name="Rounded Rectangle 51"/>
            <xdr:cNvSpPr/>
          </xdr:nvSpPr>
          <xdr:spPr>
            <a:xfrm>
              <a:off x="5672919" y="11544300"/>
              <a:ext cx="291992"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nvGrpSpPr>
          <xdr:cNvPr id="4860997" name="Group 780417"/>
          <xdr:cNvGrpSpPr>
            <a:grpSpLocks/>
          </xdr:cNvGrpSpPr>
        </xdr:nvGrpSpPr>
        <xdr:grpSpPr bwMode="auto">
          <a:xfrm>
            <a:off x="7302443" y="11658600"/>
            <a:ext cx="872494" cy="295275"/>
            <a:chOff x="5670818" y="11544300"/>
            <a:chExt cx="582197" cy="295275"/>
          </a:xfrm>
        </xdr:grpSpPr>
        <xdr:sp macro="" textlink="">
          <xdr:nvSpPr>
            <xdr:cNvPr id="54" name="TextBox 53"/>
            <xdr:cNvSpPr txBox="1"/>
          </xdr:nvSpPr>
          <xdr:spPr>
            <a:xfrm>
              <a:off x="5989185" y="11563350"/>
              <a:ext cx="262793" cy="2286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200">
                  <a:solidFill>
                    <a:schemeClr val="tx2">
                      <a:lumMod val="60000"/>
                      <a:lumOff val="40000"/>
                    </a:schemeClr>
                  </a:solidFill>
                </a:rPr>
                <a:t>X</a:t>
              </a:r>
              <a:r>
                <a:rPr lang="en-GB" sz="1600">
                  <a:solidFill>
                    <a:schemeClr val="tx2">
                      <a:lumMod val="60000"/>
                      <a:lumOff val="40000"/>
                    </a:schemeClr>
                  </a:solidFill>
                </a:rPr>
                <a:t>1</a:t>
              </a:r>
            </a:p>
          </xdr:txBody>
        </xdr:sp>
        <xdr:sp macro="" textlink="">
          <xdr:nvSpPr>
            <xdr:cNvPr id="55" name="Rounded Rectangle 54"/>
            <xdr:cNvSpPr/>
          </xdr:nvSpPr>
          <xdr:spPr>
            <a:xfrm>
              <a:off x="5672860" y="11544300"/>
              <a:ext cx="296859"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nvGrpSpPr>
          <xdr:cNvPr id="4860998" name="Group 780417"/>
          <xdr:cNvGrpSpPr>
            <a:grpSpLocks/>
          </xdr:cNvGrpSpPr>
        </xdr:nvGrpSpPr>
        <xdr:grpSpPr bwMode="auto">
          <a:xfrm>
            <a:off x="8106657" y="11658600"/>
            <a:ext cx="781452" cy="295275"/>
            <a:chOff x="5673557" y="11544300"/>
            <a:chExt cx="521446" cy="295275"/>
          </a:xfrm>
        </xdr:grpSpPr>
        <xdr:sp macro="" textlink="">
          <xdr:nvSpPr>
            <xdr:cNvPr id="59" name="TextBox 58"/>
            <xdr:cNvSpPr txBox="1"/>
          </xdr:nvSpPr>
          <xdr:spPr>
            <a:xfrm>
              <a:off x="5990608" y="11563350"/>
              <a:ext cx="204395" cy="2667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200">
                  <a:solidFill>
                    <a:schemeClr val="tx2">
                      <a:lumMod val="60000"/>
                      <a:lumOff val="40000"/>
                    </a:schemeClr>
                  </a:solidFill>
                </a:rPr>
                <a:t>X</a:t>
              </a:r>
              <a:r>
                <a:rPr lang="en-GB" sz="1600">
                  <a:solidFill>
                    <a:schemeClr val="tx2">
                      <a:lumMod val="60000"/>
                      <a:lumOff val="40000"/>
                    </a:schemeClr>
                  </a:solidFill>
                </a:rPr>
                <a:t>3</a:t>
              </a:r>
            </a:p>
          </xdr:txBody>
        </xdr:sp>
        <xdr:sp macro="" textlink="">
          <xdr:nvSpPr>
            <xdr:cNvPr id="62" name="Rounded Rectangle 61"/>
            <xdr:cNvSpPr/>
          </xdr:nvSpPr>
          <xdr:spPr>
            <a:xfrm>
              <a:off x="5674284" y="11544300"/>
              <a:ext cx="296859" cy="295275"/>
            </a:xfrm>
            <a:prstGeom prst="roundRect">
              <a:avLst/>
            </a:prstGeom>
            <a:solidFill>
              <a:srgbClr val="FFFF99"/>
            </a:solidFill>
            <a:ln w="3175">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GB" sz="1400" i="1">
                  <a:solidFill>
                    <a:sysClr val="windowText" lastClr="000000"/>
                  </a:solidFill>
                  <a:latin typeface="Arial" pitchFamily="34" charset="0"/>
                  <a:cs typeface="Arial" pitchFamily="34" charset="0"/>
                </a:rPr>
                <a:t>F4</a:t>
              </a:r>
            </a:p>
          </xdr:txBody>
        </xdr:sp>
      </xdr:grpSp>
    </xdr:grpSp>
    <xdr:clientData/>
  </xdr:twoCellAnchor>
  <xdr:twoCellAnchor>
    <xdr:from>
      <xdr:col>5</xdr:col>
      <xdr:colOff>514350</xdr:colOff>
      <xdr:row>27</xdr:row>
      <xdr:rowOff>95250</xdr:rowOff>
    </xdr:from>
    <xdr:to>
      <xdr:col>6</xdr:col>
      <xdr:colOff>504825</xdr:colOff>
      <xdr:row>27</xdr:row>
      <xdr:rowOff>95250</xdr:rowOff>
    </xdr:to>
    <xdr:cxnSp macro="">
      <xdr:nvCxnSpPr>
        <xdr:cNvPr id="4" name="Straight Arrow Connector 3"/>
        <xdr:cNvCxnSpPr/>
      </xdr:nvCxnSpPr>
      <xdr:spPr>
        <a:xfrm>
          <a:off x="4429125" y="5343525"/>
          <a:ext cx="590550"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380999</xdr:colOff>
      <xdr:row>6</xdr:row>
      <xdr:rowOff>152400</xdr:rowOff>
    </xdr:from>
    <xdr:to>
      <xdr:col>9</xdr:col>
      <xdr:colOff>771524</xdr:colOff>
      <xdr:row>12</xdr:row>
      <xdr:rowOff>180975</xdr:rowOff>
    </xdr:to>
    <xdr:sp macro="" textlink="">
      <xdr:nvSpPr>
        <xdr:cNvPr id="18" name="Right Arrow 17"/>
        <xdr:cNvSpPr/>
      </xdr:nvSpPr>
      <xdr:spPr>
        <a:xfrm>
          <a:off x="6709832" y="1401233"/>
          <a:ext cx="1279525" cy="1171575"/>
        </a:xfrm>
        <a:prstGeom prst="rightArrow">
          <a:avLst/>
        </a:prstGeom>
        <a:solidFill>
          <a:schemeClr val="bg1">
            <a:lumMod val="85000"/>
          </a:schemeClr>
        </a:solidFill>
        <a:ln w="6350">
          <a:solidFill>
            <a:schemeClr val="tx1">
              <a:lumMod val="75000"/>
              <a:lumOff val="25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GB" sz="1100">
              <a:solidFill>
                <a:schemeClr val="tx1">
                  <a:lumMod val="75000"/>
                  <a:lumOff val="25000"/>
                </a:schemeClr>
              </a:solidFill>
            </a:rPr>
            <a:t>Resulting tickers</a:t>
          </a:r>
        </a:p>
      </xdr:txBody>
    </xdr:sp>
    <xdr:clientData/>
  </xdr:twoCellAnchor>
  <xdr:twoCellAnchor>
    <xdr:from>
      <xdr:col>3</xdr:col>
      <xdr:colOff>123825</xdr:colOff>
      <xdr:row>39</xdr:row>
      <xdr:rowOff>104775</xdr:rowOff>
    </xdr:from>
    <xdr:to>
      <xdr:col>4</xdr:col>
      <xdr:colOff>405839</xdr:colOff>
      <xdr:row>39</xdr:row>
      <xdr:rowOff>105752</xdr:rowOff>
    </xdr:to>
    <xdr:cxnSp macro="">
      <xdr:nvCxnSpPr>
        <xdr:cNvPr id="46" name="Straight Arrow Connector 45"/>
        <xdr:cNvCxnSpPr/>
      </xdr:nvCxnSpPr>
      <xdr:spPr>
        <a:xfrm flipV="1">
          <a:off x="2819400" y="7620000"/>
          <a:ext cx="967814" cy="977"/>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123825</xdr:colOff>
      <xdr:row>40</xdr:row>
      <xdr:rowOff>104775</xdr:rowOff>
    </xdr:from>
    <xdr:to>
      <xdr:col>4</xdr:col>
      <xdr:colOff>405839</xdr:colOff>
      <xdr:row>40</xdr:row>
      <xdr:rowOff>105752</xdr:rowOff>
    </xdr:to>
    <xdr:cxnSp macro="">
      <xdr:nvCxnSpPr>
        <xdr:cNvPr id="48" name="Straight Arrow Connector 47"/>
        <xdr:cNvCxnSpPr/>
      </xdr:nvCxnSpPr>
      <xdr:spPr>
        <a:xfrm flipV="1">
          <a:off x="2819400" y="7810500"/>
          <a:ext cx="967814" cy="977"/>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17</xdr:col>
      <xdr:colOff>0</xdr:colOff>
      <xdr:row>1</xdr:row>
      <xdr:rowOff>137750</xdr:rowOff>
    </xdr:to>
    <xdr:sp macro="" textlink="">
      <xdr:nvSpPr>
        <xdr:cNvPr id="37" name="com_bar"/>
        <xdr:cNvSpPr>
          <a:spLocks noChangeArrowheads="1"/>
        </xdr:cNvSpPr>
      </xdr:nvSpPr>
      <xdr:spPr bwMode="auto">
        <a:xfrm>
          <a:off x="0" y="0"/>
          <a:ext cx="147955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ea typeface="+mn-ea"/>
              <a:cs typeface="+mn-cs"/>
            </a:rPr>
            <a:t>Tip &amp; Tricks</a:t>
          </a:r>
        </a:p>
      </xdr:txBody>
    </xdr:sp>
    <xdr:clientData/>
  </xdr:twoCellAnchor>
  <xdr:twoCellAnchor editAs="oneCell">
    <xdr:from>
      <xdr:col>14</xdr:col>
      <xdr:colOff>361950</xdr:colOff>
      <xdr:row>67</xdr:row>
      <xdr:rowOff>9525</xdr:rowOff>
    </xdr:from>
    <xdr:to>
      <xdr:col>15</xdr:col>
      <xdr:colOff>0</xdr:colOff>
      <xdr:row>68</xdr:row>
      <xdr:rowOff>0</xdr:rowOff>
    </xdr:to>
    <xdr:pic>
      <xdr:nvPicPr>
        <xdr:cNvPr id="4860994"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11075" y="13125450"/>
          <a:ext cx="2095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29</xdr:col>
      <xdr:colOff>336417</xdr:colOff>
      <xdr:row>1</xdr:row>
      <xdr:rowOff>137750</xdr:rowOff>
    </xdr:to>
    <xdr:sp macro="" textlink="">
      <xdr:nvSpPr>
        <xdr:cNvPr id="7"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Auto Update your PowerPoint Data and Graphs via Excel</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13</xdr:col>
      <xdr:colOff>523875</xdr:colOff>
      <xdr:row>8</xdr:row>
      <xdr:rowOff>142875</xdr:rowOff>
    </xdr:from>
    <xdr:to>
      <xdr:col>28</xdr:col>
      <xdr:colOff>457200</xdr:colOff>
      <xdr:row>41</xdr:row>
      <xdr:rowOff>57150</xdr:rowOff>
    </xdr:to>
    <xdr:pic>
      <xdr:nvPicPr>
        <xdr:cNvPr id="3720370" name="Picture 13"/>
        <xdr:cNvPicPr>
          <a:picLocks noChangeAspect="1"/>
        </xdr:cNvPicPr>
      </xdr:nvPicPr>
      <xdr:blipFill>
        <a:blip xmlns:r="http://schemas.openxmlformats.org/officeDocument/2006/relationships" r:embed="rId1"/>
        <a:srcRect/>
        <a:stretch>
          <a:fillRect/>
        </a:stretch>
      </xdr:blipFill>
      <xdr:spPr bwMode="auto">
        <a:xfrm>
          <a:off x="8505825" y="1771650"/>
          <a:ext cx="8934450" cy="62007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45</xdr:row>
      <xdr:rowOff>152400</xdr:rowOff>
    </xdr:from>
    <xdr:to>
      <xdr:col>19</xdr:col>
      <xdr:colOff>447675</xdr:colOff>
      <xdr:row>53</xdr:row>
      <xdr:rowOff>47625</xdr:rowOff>
    </xdr:to>
    <xdr:pic>
      <xdr:nvPicPr>
        <xdr:cNvPr id="3720371" name="Picture 15"/>
        <xdr:cNvPicPr>
          <a:picLocks noChangeAspect="1"/>
        </xdr:cNvPicPr>
      </xdr:nvPicPr>
      <xdr:blipFill>
        <a:blip xmlns:r="http://schemas.openxmlformats.org/officeDocument/2006/relationships" r:embed="rId2"/>
        <a:srcRect/>
        <a:stretch>
          <a:fillRect/>
        </a:stretch>
      </xdr:blipFill>
      <xdr:spPr bwMode="auto">
        <a:xfrm>
          <a:off x="10477500" y="8829675"/>
          <a:ext cx="1552575" cy="14192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xdr:colOff>
      <xdr:row>5</xdr:row>
      <xdr:rowOff>114300</xdr:rowOff>
    </xdr:from>
    <xdr:to>
      <xdr:col>1</xdr:col>
      <xdr:colOff>419100</xdr:colOff>
      <xdr:row>6</xdr:row>
      <xdr:rowOff>161925</xdr:rowOff>
    </xdr:to>
    <xdr:pic>
      <xdr:nvPicPr>
        <xdr:cNvPr id="4728300" name="Picture 2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00025" y="1171575"/>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6</xdr:row>
      <xdr:rowOff>76200</xdr:rowOff>
    </xdr:from>
    <xdr:to>
      <xdr:col>1</xdr:col>
      <xdr:colOff>590550</xdr:colOff>
      <xdr:row>7</xdr:row>
      <xdr:rowOff>123825</xdr:rowOff>
    </xdr:to>
    <xdr:pic>
      <xdr:nvPicPr>
        <xdr:cNvPr id="4728301" name="Picture 2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1475" y="1323975"/>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47625</xdr:colOff>
      <xdr:row>5</xdr:row>
      <xdr:rowOff>19050</xdr:rowOff>
    </xdr:from>
    <xdr:to>
      <xdr:col>13</xdr:col>
      <xdr:colOff>257175</xdr:colOff>
      <xdr:row>41</xdr:row>
      <xdr:rowOff>57150</xdr:rowOff>
    </xdr:to>
    <xdr:grpSp>
      <xdr:nvGrpSpPr>
        <xdr:cNvPr id="4728302" name="Group 39"/>
        <xdr:cNvGrpSpPr>
          <a:grpSpLocks/>
        </xdr:cNvGrpSpPr>
      </xdr:nvGrpSpPr>
      <xdr:grpSpPr bwMode="auto">
        <a:xfrm>
          <a:off x="291042" y="1077383"/>
          <a:ext cx="7977716" cy="6896100"/>
          <a:chOff x="201706" y="1169334"/>
          <a:chExt cx="9416799" cy="8161905"/>
        </a:xfrm>
      </xdr:grpSpPr>
      <xdr:grpSp>
        <xdr:nvGrpSpPr>
          <xdr:cNvPr id="4728309" name="Group 25"/>
          <xdr:cNvGrpSpPr>
            <a:grpSpLocks/>
          </xdr:cNvGrpSpPr>
        </xdr:nvGrpSpPr>
        <xdr:grpSpPr bwMode="auto">
          <a:xfrm>
            <a:off x="201706" y="1169334"/>
            <a:ext cx="9416799" cy="8161905"/>
            <a:chOff x="201706" y="1169334"/>
            <a:chExt cx="9416799" cy="8161905"/>
          </a:xfrm>
        </xdr:grpSpPr>
        <xdr:pic>
          <xdr:nvPicPr>
            <xdr:cNvPr id="4728311" name="Picture 10"/>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1706" y="1169334"/>
              <a:ext cx="9416799" cy="816190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728312" name="Picture 2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028950" y="8296275"/>
              <a:ext cx="571429" cy="32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728313" name="Picture 2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00400" y="8105775"/>
              <a:ext cx="466667" cy="238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31" name="Rectangle 30"/>
          <xdr:cNvSpPr/>
        </xdr:nvSpPr>
        <xdr:spPr>
          <a:xfrm>
            <a:off x="3137399" y="8215177"/>
            <a:ext cx="124202" cy="90187"/>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editAs="oneCell">
    <xdr:from>
      <xdr:col>8</xdr:col>
      <xdr:colOff>533400</xdr:colOff>
      <xdr:row>21</xdr:row>
      <xdr:rowOff>104775</xdr:rowOff>
    </xdr:from>
    <xdr:to>
      <xdr:col>12</xdr:col>
      <xdr:colOff>76200</xdr:colOff>
      <xdr:row>45</xdr:row>
      <xdr:rowOff>47625</xdr:rowOff>
    </xdr:to>
    <xdr:pic>
      <xdr:nvPicPr>
        <xdr:cNvPr id="3720375" name="Picture 1"/>
        <xdr:cNvPicPr>
          <a:picLocks noChangeAspect="1"/>
        </xdr:cNvPicPr>
      </xdr:nvPicPr>
      <xdr:blipFill>
        <a:blip xmlns:r="http://schemas.openxmlformats.org/officeDocument/2006/relationships" r:embed="rId6"/>
        <a:srcRect/>
        <a:stretch>
          <a:fillRect/>
        </a:stretch>
      </xdr:blipFill>
      <xdr:spPr bwMode="auto">
        <a:xfrm>
          <a:off x="5514975" y="4210050"/>
          <a:ext cx="1943100" cy="4514850"/>
        </a:xfrm>
        <a:prstGeom prst="rect">
          <a:avLst/>
        </a:prstGeom>
        <a:solidFill>
          <a:srgbClr val="BFBFBF"/>
        </a:solidFill>
        <a:ln w="9525">
          <a:solidFill>
            <a:srgbClr val="A6A6A6"/>
          </a:solidFill>
          <a:miter lim="800000"/>
          <a:headEnd/>
          <a:tailEnd/>
        </a:ln>
        <a:effectLst>
          <a:outerShdw blurRad="50800" dist="38100" dir="2700000" algn="tl" rotWithShape="0">
            <a:prstClr val="black">
              <a:alpha val="40000"/>
            </a:prstClr>
          </a:outerShdw>
        </a:effectLst>
      </xdr:spPr>
    </xdr:pic>
    <xdr:clientData/>
  </xdr:twoCellAnchor>
  <xdr:twoCellAnchor>
    <xdr:from>
      <xdr:col>19</xdr:col>
      <xdr:colOff>571501</xdr:colOff>
      <xdr:row>34</xdr:row>
      <xdr:rowOff>145677</xdr:rowOff>
    </xdr:from>
    <xdr:to>
      <xdr:col>23</xdr:col>
      <xdr:colOff>190500</xdr:colOff>
      <xdr:row>44</xdr:row>
      <xdr:rowOff>33617</xdr:rowOff>
    </xdr:to>
    <xdr:cxnSp macro="">
      <xdr:nvCxnSpPr>
        <xdr:cNvPr id="46" name="Straight Arrow Connector 45"/>
        <xdr:cNvCxnSpPr/>
      </xdr:nvCxnSpPr>
      <xdr:spPr>
        <a:xfrm flipH="1" flipV="1">
          <a:off x="12214413" y="6734736"/>
          <a:ext cx="2039469" cy="1792940"/>
        </a:xfrm>
        <a:prstGeom prst="straightConnector1">
          <a:avLst/>
        </a:prstGeom>
        <a:ln w="6350">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509247</xdr:colOff>
      <xdr:row>55</xdr:row>
      <xdr:rowOff>86535</xdr:rowOff>
    </xdr:from>
    <xdr:to>
      <xdr:col>9</xdr:col>
      <xdr:colOff>370417</xdr:colOff>
      <xdr:row>58</xdr:row>
      <xdr:rowOff>154904</xdr:rowOff>
    </xdr:to>
    <xdr:pic>
      <xdr:nvPicPr>
        <xdr:cNvPr id="48" name="Picture 47"/>
        <xdr:cNvPicPr>
          <a:picLocks noChangeAspect="1"/>
        </xdr:cNvPicPr>
      </xdr:nvPicPr>
      <xdr:blipFill>
        <a:blip xmlns:r="http://schemas.openxmlformats.org/officeDocument/2006/relationships" r:embed="rId7"/>
        <a:stretch>
          <a:fillRect/>
        </a:stretch>
      </xdr:blipFill>
      <xdr:spPr>
        <a:xfrm>
          <a:off x="5504580" y="10669868"/>
          <a:ext cx="464420" cy="639869"/>
        </a:xfrm>
        <a:prstGeom prst="rect">
          <a:avLst/>
        </a:prstGeom>
        <a:ln>
          <a:solidFill>
            <a:schemeClr val="bg1">
              <a:lumMod val="65000"/>
            </a:schemeClr>
          </a:solidFill>
        </a:ln>
        <a:effectLst>
          <a:outerShdw blurRad="50800" dist="38100" dir="2700000" algn="tl" rotWithShape="0">
            <a:prstClr val="black">
              <a:alpha val="40000"/>
            </a:prstClr>
          </a:outerShdw>
        </a:effectLst>
      </xdr:spPr>
    </xdr:pic>
    <xdr:clientData/>
  </xdr:twoCellAnchor>
  <xdr:twoCellAnchor>
    <xdr:from>
      <xdr:col>3</xdr:col>
      <xdr:colOff>425824</xdr:colOff>
      <xdr:row>42</xdr:row>
      <xdr:rowOff>44824</xdr:rowOff>
    </xdr:from>
    <xdr:to>
      <xdr:col>8</xdr:col>
      <xdr:colOff>437029</xdr:colOff>
      <xdr:row>45</xdr:row>
      <xdr:rowOff>89647</xdr:rowOff>
    </xdr:to>
    <xdr:cxnSp macro="">
      <xdr:nvCxnSpPr>
        <xdr:cNvPr id="55" name="Elbow Connector 54"/>
        <xdr:cNvCxnSpPr/>
      </xdr:nvCxnSpPr>
      <xdr:spPr>
        <a:xfrm flipV="1">
          <a:off x="2386853" y="8157883"/>
          <a:ext cx="3036794" cy="616323"/>
        </a:xfrm>
        <a:prstGeom prst="bentConnector3">
          <a:avLst>
            <a:gd name="adj1" fmla="val 75830"/>
          </a:avLst>
        </a:prstGeom>
        <a:ln w="6350">
          <a:solidFill>
            <a:sysClr val="windowText" lastClr="00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593912</xdr:colOff>
      <xdr:row>46</xdr:row>
      <xdr:rowOff>100853</xdr:rowOff>
    </xdr:from>
    <xdr:to>
      <xdr:col>14</xdr:col>
      <xdr:colOff>145676</xdr:colOff>
      <xdr:row>46</xdr:row>
      <xdr:rowOff>100853</xdr:rowOff>
    </xdr:to>
    <xdr:cxnSp macro="">
      <xdr:nvCxnSpPr>
        <xdr:cNvPr id="54" name="Straight Arrow Connector 53"/>
        <xdr:cNvCxnSpPr/>
      </xdr:nvCxnSpPr>
      <xdr:spPr>
        <a:xfrm>
          <a:off x="3765177" y="8975912"/>
          <a:ext cx="4997823" cy="0"/>
        </a:xfrm>
        <a:prstGeom prst="straightConnector1">
          <a:avLst/>
        </a:prstGeom>
        <a:ln w="6350">
          <a:solidFill>
            <a:sysClr val="windowText" lastClr="00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14</xdr:col>
      <xdr:colOff>285750</xdr:colOff>
      <xdr:row>36</xdr:row>
      <xdr:rowOff>142875</xdr:rowOff>
    </xdr:from>
    <xdr:to>
      <xdr:col>17</xdr:col>
      <xdr:colOff>104775</xdr:colOff>
      <xdr:row>47</xdr:row>
      <xdr:rowOff>38100</xdr:rowOff>
    </xdr:to>
    <xdr:pic>
      <xdr:nvPicPr>
        <xdr:cNvPr id="3720380" name="Picture 3"/>
        <xdr:cNvPicPr>
          <a:picLocks noChangeAspect="1"/>
        </xdr:cNvPicPr>
      </xdr:nvPicPr>
      <xdr:blipFill>
        <a:blip xmlns:r="http://schemas.openxmlformats.org/officeDocument/2006/relationships" r:embed="rId8"/>
        <a:srcRect/>
        <a:stretch>
          <a:fillRect/>
        </a:stretch>
      </xdr:blipFill>
      <xdr:spPr bwMode="auto">
        <a:xfrm>
          <a:off x="8867775" y="7105650"/>
          <a:ext cx="1619250" cy="19907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21</xdr:col>
      <xdr:colOff>426375</xdr:colOff>
      <xdr:row>1</xdr:row>
      <xdr:rowOff>140925</xdr:rowOff>
    </xdr:to>
    <xdr:sp macro="" textlink="">
      <xdr:nvSpPr>
        <xdr:cNvPr id="2" name="com_bar"/>
        <xdr:cNvSpPr>
          <a:spLocks noChangeArrowheads="1"/>
        </xdr:cNvSpPr>
      </xdr:nvSpPr>
      <xdr:spPr bwMode="auto">
        <a:xfrm>
          <a:off x="0" y="0"/>
          <a:ext cx="18767292" cy="363175"/>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cs typeface="+mn-cs"/>
            </a:rPr>
            <a:t>Bloomberg Query Language - Enhanced API Functionality </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0</xdr:col>
      <xdr:colOff>197908</xdr:colOff>
      <xdr:row>56</xdr:row>
      <xdr:rowOff>110065</xdr:rowOff>
    </xdr:from>
    <xdr:to>
      <xdr:col>6</xdr:col>
      <xdr:colOff>526091</xdr:colOff>
      <xdr:row>81</xdr:row>
      <xdr:rowOff>79903</xdr:rowOff>
    </xdr:to>
    <xdr:pic>
      <xdr:nvPicPr>
        <xdr:cNvPr id="67" name="Picture 66"/>
        <xdr:cNvPicPr>
          <a:picLocks noChangeAspect="1"/>
        </xdr:cNvPicPr>
      </xdr:nvPicPr>
      <xdr:blipFill>
        <a:blip xmlns:r="http://schemas.openxmlformats.org/officeDocument/2006/relationships" r:embed="rId1"/>
        <a:stretch>
          <a:fillRect/>
        </a:stretch>
      </xdr:blipFill>
      <xdr:spPr>
        <a:xfrm>
          <a:off x="197908" y="8015815"/>
          <a:ext cx="7059183" cy="4732338"/>
        </a:xfrm>
        <a:prstGeom prst="rect">
          <a:avLst/>
        </a:prstGeom>
      </xdr:spPr>
    </xdr:pic>
    <xdr:clientData/>
  </xdr:twoCellAnchor>
  <xdr:twoCellAnchor editAs="oneCell">
    <xdr:from>
      <xdr:col>3</xdr:col>
      <xdr:colOff>1365248</xdr:colOff>
      <xdr:row>35</xdr:row>
      <xdr:rowOff>158752</xdr:rowOff>
    </xdr:from>
    <xdr:to>
      <xdr:col>8</xdr:col>
      <xdr:colOff>169346</xdr:colOff>
      <xdr:row>52</xdr:row>
      <xdr:rowOff>151862</xdr:rowOff>
    </xdr:to>
    <xdr:pic>
      <xdr:nvPicPr>
        <xdr:cNvPr id="69" name="Picture 68"/>
        <xdr:cNvPicPr>
          <a:picLocks noChangeAspect="1"/>
        </xdr:cNvPicPr>
      </xdr:nvPicPr>
      <xdr:blipFill>
        <a:blip xmlns:r="http://schemas.openxmlformats.org/officeDocument/2006/relationships" r:embed="rId2"/>
        <a:stretch>
          <a:fillRect/>
        </a:stretch>
      </xdr:blipFill>
      <xdr:spPr>
        <a:xfrm>
          <a:off x="4307415" y="7239002"/>
          <a:ext cx="4794264" cy="3231610"/>
        </a:xfrm>
        <a:prstGeom prst="rect">
          <a:avLst/>
        </a:prstGeom>
      </xdr:spPr>
    </xdr:pic>
    <xdr:clientData/>
  </xdr:twoCellAnchor>
  <xdr:twoCellAnchor editAs="oneCell">
    <xdr:from>
      <xdr:col>0</xdr:col>
      <xdr:colOff>190501</xdr:colOff>
      <xdr:row>44</xdr:row>
      <xdr:rowOff>148165</xdr:rowOff>
    </xdr:from>
    <xdr:to>
      <xdr:col>2</xdr:col>
      <xdr:colOff>635000</xdr:colOff>
      <xdr:row>50</xdr:row>
      <xdr:rowOff>148166</xdr:rowOff>
    </xdr:to>
    <xdr:pic>
      <xdr:nvPicPr>
        <xdr:cNvPr id="70" name="Picture 69"/>
        <xdr:cNvPicPr>
          <a:picLocks noChangeAspect="1"/>
        </xdr:cNvPicPr>
      </xdr:nvPicPr>
      <xdr:blipFill rotWithShape="1">
        <a:blip xmlns:r="http://schemas.openxmlformats.org/officeDocument/2006/relationships" r:embed="rId3"/>
        <a:srcRect t="24569"/>
        <a:stretch/>
      </xdr:blipFill>
      <xdr:spPr>
        <a:xfrm>
          <a:off x="190501" y="8942915"/>
          <a:ext cx="2243666" cy="1143001"/>
        </a:xfrm>
        <a:prstGeom prst="rect">
          <a:avLst/>
        </a:prstGeom>
      </xdr:spPr>
    </xdr:pic>
    <xdr:clientData/>
  </xdr:twoCellAnchor>
  <xdr:twoCellAnchor editAs="oneCell">
    <xdr:from>
      <xdr:col>0</xdr:col>
      <xdr:colOff>222247</xdr:colOff>
      <xdr:row>35</xdr:row>
      <xdr:rowOff>105834</xdr:rowOff>
    </xdr:from>
    <xdr:to>
      <xdr:col>2</xdr:col>
      <xdr:colOff>624414</xdr:colOff>
      <xdr:row>41</xdr:row>
      <xdr:rowOff>95251</xdr:rowOff>
    </xdr:to>
    <xdr:pic>
      <xdr:nvPicPr>
        <xdr:cNvPr id="71" name="Picture 70"/>
        <xdr:cNvPicPr>
          <a:picLocks noChangeAspect="1"/>
        </xdr:cNvPicPr>
      </xdr:nvPicPr>
      <xdr:blipFill rotWithShape="1">
        <a:blip xmlns:r="http://schemas.openxmlformats.org/officeDocument/2006/relationships" r:embed="rId4"/>
        <a:srcRect l="4938" t="3509" r="1698" b="2619"/>
        <a:stretch/>
      </xdr:blipFill>
      <xdr:spPr>
        <a:xfrm>
          <a:off x="222247" y="7186084"/>
          <a:ext cx="2201334" cy="1132417"/>
        </a:xfrm>
        <a:prstGeom prst="rect">
          <a:avLst/>
        </a:prstGeom>
      </xdr:spPr>
    </xdr:pic>
    <xdr:clientData/>
  </xdr:twoCellAnchor>
  <xdr:twoCellAnchor>
    <xdr:from>
      <xdr:col>1</xdr:col>
      <xdr:colOff>613833</xdr:colOff>
      <xdr:row>36</xdr:row>
      <xdr:rowOff>127000</xdr:rowOff>
    </xdr:from>
    <xdr:to>
      <xdr:col>2</xdr:col>
      <xdr:colOff>391583</xdr:colOff>
      <xdr:row>39</xdr:row>
      <xdr:rowOff>10583</xdr:rowOff>
    </xdr:to>
    <xdr:sp macro="" textlink="">
      <xdr:nvSpPr>
        <xdr:cNvPr id="72" name="Oval 71"/>
        <xdr:cNvSpPr/>
      </xdr:nvSpPr>
      <xdr:spPr>
        <a:xfrm>
          <a:off x="857250" y="7397750"/>
          <a:ext cx="1333500" cy="455083"/>
        </a:xfrm>
        <a:prstGeom prst="ellipse">
          <a:avLst/>
        </a:prstGeom>
        <a:noFill/>
        <a:ln w="603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10584</xdr:colOff>
      <xdr:row>44</xdr:row>
      <xdr:rowOff>137583</xdr:rowOff>
    </xdr:from>
    <xdr:to>
      <xdr:col>2</xdr:col>
      <xdr:colOff>772584</xdr:colOff>
      <xdr:row>50</xdr:row>
      <xdr:rowOff>42333</xdr:rowOff>
    </xdr:to>
    <xdr:sp macro="" textlink="">
      <xdr:nvSpPr>
        <xdr:cNvPr id="73" name="Oval 72"/>
        <xdr:cNvSpPr/>
      </xdr:nvSpPr>
      <xdr:spPr>
        <a:xfrm>
          <a:off x="1809751" y="8932333"/>
          <a:ext cx="762000" cy="1047750"/>
        </a:xfrm>
        <a:prstGeom prst="ellipse">
          <a:avLst/>
        </a:prstGeom>
        <a:noFill/>
        <a:ln w="603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455084</xdr:colOff>
      <xdr:row>38</xdr:row>
      <xdr:rowOff>0</xdr:rowOff>
    </xdr:from>
    <xdr:to>
      <xdr:col>3</xdr:col>
      <xdr:colOff>1238250</xdr:colOff>
      <xdr:row>42</xdr:row>
      <xdr:rowOff>52917</xdr:rowOff>
    </xdr:to>
    <xdr:cxnSp macro="">
      <xdr:nvCxnSpPr>
        <xdr:cNvPr id="75" name="Straight Arrow Connector 74"/>
        <xdr:cNvCxnSpPr/>
      </xdr:nvCxnSpPr>
      <xdr:spPr>
        <a:xfrm>
          <a:off x="2254251" y="7651750"/>
          <a:ext cx="1926166" cy="814917"/>
        </a:xfrm>
        <a:prstGeom prst="straightConnector1">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772584</xdr:colOff>
      <xdr:row>43</xdr:row>
      <xdr:rowOff>127000</xdr:rowOff>
    </xdr:from>
    <xdr:to>
      <xdr:col>3</xdr:col>
      <xdr:colOff>1259416</xdr:colOff>
      <xdr:row>47</xdr:row>
      <xdr:rowOff>89958</xdr:rowOff>
    </xdr:to>
    <xdr:cxnSp macro="">
      <xdr:nvCxnSpPr>
        <xdr:cNvPr id="77" name="Straight Arrow Connector 76"/>
        <xdr:cNvCxnSpPr>
          <a:stCxn id="73" idx="6"/>
        </xdr:cNvCxnSpPr>
      </xdr:nvCxnSpPr>
      <xdr:spPr>
        <a:xfrm flipV="1">
          <a:off x="2571751" y="8731250"/>
          <a:ext cx="1629832" cy="724958"/>
        </a:xfrm>
        <a:prstGeom prst="straightConnector1">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32800</xdr:colOff>
      <xdr:row>56</xdr:row>
      <xdr:rowOff>105833</xdr:rowOff>
    </xdr:from>
    <xdr:to>
      <xdr:col>12</xdr:col>
      <xdr:colOff>785027</xdr:colOff>
      <xdr:row>81</xdr:row>
      <xdr:rowOff>84667</xdr:rowOff>
    </xdr:to>
    <xdr:pic>
      <xdr:nvPicPr>
        <xdr:cNvPr id="3" name="Picture 2"/>
        <xdr:cNvPicPr>
          <a:picLocks noChangeAspect="1"/>
        </xdr:cNvPicPr>
      </xdr:nvPicPr>
      <xdr:blipFill>
        <a:blip xmlns:r="http://schemas.openxmlformats.org/officeDocument/2006/relationships" r:embed="rId5"/>
        <a:stretch>
          <a:fillRect/>
        </a:stretch>
      </xdr:blipFill>
      <xdr:spPr>
        <a:xfrm>
          <a:off x="9155633" y="8604250"/>
          <a:ext cx="7068609" cy="474133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0</xdr:rowOff>
    </xdr:from>
    <xdr:to>
      <xdr:col>16</xdr:col>
      <xdr:colOff>426375</xdr:colOff>
      <xdr:row>1</xdr:row>
      <xdr:rowOff>140925</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Bloomberg Live and Static Data in Excel</a:t>
          </a:r>
          <a:endParaRPr lang="en-US" sz="1800" b="1" i="0" u="none" strike="noStrike" baseline="0">
            <a:solidFill>
              <a:srgbClr val="000000"/>
            </a:solidFill>
            <a:latin typeface="+mn-lt"/>
            <a:cs typeface="Angsana New" pitchFamily="18" charset="-34"/>
          </a:endParaRPr>
        </a:p>
      </xdr:txBody>
    </xdr:sp>
    <xdr:clientData/>
  </xdr:twoCellAnchor>
  <xdr:twoCellAnchor>
    <xdr:from>
      <xdr:col>5</xdr:col>
      <xdr:colOff>400050</xdr:colOff>
      <xdr:row>11</xdr:row>
      <xdr:rowOff>95250</xdr:rowOff>
    </xdr:from>
    <xdr:to>
      <xdr:col>5</xdr:col>
      <xdr:colOff>866775</xdr:colOff>
      <xdr:row>11</xdr:row>
      <xdr:rowOff>95250</xdr:rowOff>
    </xdr:to>
    <xdr:cxnSp macro="">
      <xdr:nvCxnSpPr>
        <xdr:cNvPr id="12" name="Straight Arrow Connector 11"/>
        <xdr:cNvCxnSpPr/>
      </xdr:nvCxnSpPr>
      <xdr:spPr>
        <a:xfrm>
          <a:off x="5924550" y="2343150"/>
          <a:ext cx="466725"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85725</xdr:colOff>
      <xdr:row>60</xdr:row>
      <xdr:rowOff>76200</xdr:rowOff>
    </xdr:from>
    <xdr:to>
      <xdr:col>6</xdr:col>
      <xdr:colOff>247650</xdr:colOff>
      <xdr:row>60</xdr:row>
      <xdr:rowOff>161925</xdr:rowOff>
    </xdr:to>
    <xdr:sp macro="" textlink="">
      <xdr:nvSpPr>
        <xdr:cNvPr id="4820610" name="AutoShape 43"/>
        <xdr:cNvSpPr>
          <a:spLocks noChangeArrowheads="1"/>
        </xdr:cNvSpPr>
      </xdr:nvSpPr>
      <xdr:spPr bwMode="auto">
        <a:xfrm>
          <a:off x="7067550" y="11839575"/>
          <a:ext cx="161925" cy="85725"/>
        </a:xfrm>
        <a:prstGeom prst="rightArrow">
          <a:avLst>
            <a:gd name="adj1" fmla="val 50000"/>
            <a:gd name="adj2" fmla="val 47222"/>
          </a:avLst>
        </a:prstGeom>
        <a:solidFill>
          <a:srgbClr val="FFFFFF"/>
        </a:solidFill>
        <a:ln w="9525">
          <a:solidFill>
            <a:srgbClr val="000000"/>
          </a:solidFill>
          <a:miter lim="800000"/>
          <a:headEnd/>
          <a:tailEnd/>
        </a:ln>
      </xdr:spPr>
    </xdr:sp>
    <xdr:clientData/>
  </xdr:twoCellAnchor>
  <xdr:twoCellAnchor>
    <xdr:from>
      <xdr:col>6</xdr:col>
      <xdr:colOff>400631</xdr:colOff>
      <xdr:row>60</xdr:row>
      <xdr:rowOff>16128</xdr:rowOff>
    </xdr:from>
    <xdr:to>
      <xdr:col>6</xdr:col>
      <xdr:colOff>682147</xdr:colOff>
      <xdr:row>60</xdr:row>
      <xdr:rowOff>168528</xdr:rowOff>
    </xdr:to>
    <xdr:sp macro="" textlink="">
      <xdr:nvSpPr>
        <xdr:cNvPr id="34" name="Text Box 76"/>
        <xdr:cNvSpPr txBox="1">
          <a:spLocks noChangeArrowheads="1"/>
        </xdr:cNvSpPr>
      </xdr:nvSpPr>
      <xdr:spPr bwMode="auto">
        <a:xfrm>
          <a:off x="7115756" y="12512928"/>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3</xdr:col>
      <xdr:colOff>0</xdr:colOff>
      <xdr:row>62</xdr:row>
      <xdr:rowOff>0</xdr:rowOff>
    </xdr:from>
    <xdr:to>
      <xdr:col>7</xdr:col>
      <xdr:colOff>66675</xdr:colOff>
      <xdr:row>62</xdr:row>
      <xdr:rowOff>0</xdr:rowOff>
    </xdr:to>
    <xdr:sp macro="" textlink="">
      <xdr:nvSpPr>
        <xdr:cNvPr id="4820612" name="Line 141"/>
        <xdr:cNvSpPr>
          <a:spLocks noChangeShapeType="1"/>
        </xdr:cNvSpPr>
      </xdr:nvSpPr>
      <xdr:spPr bwMode="auto">
        <a:xfrm>
          <a:off x="3200400" y="12144375"/>
          <a:ext cx="5038725" cy="0"/>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85725</xdr:colOff>
      <xdr:row>61</xdr:row>
      <xdr:rowOff>66675</xdr:rowOff>
    </xdr:from>
    <xdr:to>
      <xdr:col>6</xdr:col>
      <xdr:colOff>247650</xdr:colOff>
      <xdr:row>61</xdr:row>
      <xdr:rowOff>152400</xdr:rowOff>
    </xdr:to>
    <xdr:sp macro="" textlink="">
      <xdr:nvSpPr>
        <xdr:cNvPr id="39" name="AutoShape 162"/>
        <xdr:cNvSpPr>
          <a:spLocks noChangeArrowheads="1"/>
        </xdr:cNvSpPr>
      </xdr:nvSpPr>
      <xdr:spPr bwMode="auto">
        <a:xfrm>
          <a:off x="6800850" y="12753975"/>
          <a:ext cx="161925" cy="85725"/>
        </a:xfrm>
        <a:prstGeom prst="rightArrow">
          <a:avLst>
            <a:gd name="adj1" fmla="val 50000"/>
            <a:gd name="adj2" fmla="val 47222"/>
          </a:avLst>
        </a:prstGeom>
        <a:solidFill>
          <a:srgbClr val="FFFFFF"/>
        </a:solidFill>
        <a:ln w="9525">
          <a:solidFill>
            <a:srgbClr val="000000"/>
          </a:solidFill>
          <a:miter lim="800000"/>
          <a:headEnd/>
          <a:tailEnd/>
        </a:ln>
      </xdr:spPr>
      <xdr:txBody>
        <a:bodyPr/>
        <a:lstStyle/>
        <a:p>
          <a:r>
            <a:rPr lang="en-GB"/>
            <a:t>    </a:t>
          </a:r>
        </a:p>
      </xdr:txBody>
    </xdr:sp>
    <xdr:clientData/>
  </xdr:twoCellAnchor>
  <xdr:twoCellAnchor>
    <xdr:from>
      <xdr:col>6</xdr:col>
      <xdr:colOff>400631</xdr:colOff>
      <xdr:row>61</xdr:row>
      <xdr:rowOff>16629</xdr:rowOff>
    </xdr:from>
    <xdr:to>
      <xdr:col>6</xdr:col>
      <xdr:colOff>682147</xdr:colOff>
      <xdr:row>61</xdr:row>
      <xdr:rowOff>169029</xdr:rowOff>
    </xdr:to>
    <xdr:sp macro="" textlink="">
      <xdr:nvSpPr>
        <xdr:cNvPr id="45" name="Text Box 76"/>
        <xdr:cNvSpPr txBox="1">
          <a:spLocks noChangeArrowheads="1"/>
        </xdr:cNvSpPr>
      </xdr:nvSpPr>
      <xdr:spPr bwMode="auto">
        <a:xfrm>
          <a:off x="7115756" y="12703929"/>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2</xdr:col>
      <xdr:colOff>352425</xdr:colOff>
      <xdr:row>58</xdr:row>
      <xdr:rowOff>28575</xdr:rowOff>
    </xdr:from>
    <xdr:to>
      <xdr:col>2</xdr:col>
      <xdr:colOff>714375</xdr:colOff>
      <xdr:row>59</xdr:row>
      <xdr:rowOff>19050</xdr:rowOff>
    </xdr:to>
    <xdr:grpSp>
      <xdr:nvGrpSpPr>
        <xdr:cNvPr id="4820615" name="Group 70"/>
        <xdr:cNvGrpSpPr>
          <a:grpSpLocks/>
        </xdr:cNvGrpSpPr>
      </xdr:nvGrpSpPr>
      <xdr:grpSpPr bwMode="auto">
        <a:xfrm>
          <a:off x="1791758" y="11405658"/>
          <a:ext cx="361950" cy="180975"/>
          <a:chOff x="1895475" y="18573749"/>
          <a:chExt cx="361949" cy="180976"/>
        </a:xfrm>
      </xdr:grpSpPr>
      <xdr:sp macro="" textlink="">
        <xdr:nvSpPr>
          <xdr:cNvPr id="56" name="Text Box 76"/>
          <xdr:cNvSpPr txBox="1">
            <a:spLocks noChangeArrowheads="1"/>
          </xdr:cNvSpPr>
        </xdr:nvSpPr>
        <xdr:spPr bwMode="auto">
          <a:xfrm>
            <a:off x="189547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57" name="Text Box 76"/>
          <xdr:cNvSpPr txBox="1">
            <a:spLocks noChangeArrowheads="1"/>
          </xdr:cNvSpPr>
        </xdr:nvSpPr>
        <xdr:spPr bwMode="auto">
          <a:xfrm>
            <a:off x="208597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70C0"/>
                </a:solidFill>
                <a:latin typeface="Arial"/>
                <a:cs typeface="Arial"/>
              </a:rPr>
              <a:t>x3</a:t>
            </a:r>
          </a:p>
        </xdr:txBody>
      </xdr:sp>
    </xdr:grpSp>
    <xdr:clientData/>
  </xdr:twoCellAnchor>
  <xdr:twoCellAnchor>
    <xdr:from>
      <xdr:col>2</xdr:col>
      <xdr:colOff>742950</xdr:colOff>
      <xdr:row>58</xdr:row>
      <xdr:rowOff>28575</xdr:rowOff>
    </xdr:from>
    <xdr:to>
      <xdr:col>2</xdr:col>
      <xdr:colOff>1104900</xdr:colOff>
      <xdr:row>59</xdr:row>
      <xdr:rowOff>19050</xdr:rowOff>
    </xdr:to>
    <xdr:grpSp>
      <xdr:nvGrpSpPr>
        <xdr:cNvPr id="4820616" name="Group 78"/>
        <xdr:cNvGrpSpPr>
          <a:grpSpLocks/>
        </xdr:cNvGrpSpPr>
      </xdr:nvGrpSpPr>
      <xdr:grpSpPr bwMode="auto">
        <a:xfrm>
          <a:off x="2182283" y="11405658"/>
          <a:ext cx="361950" cy="180975"/>
          <a:chOff x="2257425" y="18573749"/>
          <a:chExt cx="361949" cy="180976"/>
        </a:xfrm>
      </xdr:grpSpPr>
      <xdr:sp macro="" textlink="">
        <xdr:nvSpPr>
          <xdr:cNvPr id="59" name="Text Box 76"/>
          <xdr:cNvSpPr txBox="1">
            <a:spLocks noChangeArrowheads="1"/>
          </xdr:cNvSpPr>
        </xdr:nvSpPr>
        <xdr:spPr bwMode="auto">
          <a:xfrm>
            <a:off x="225742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60" name="Text Box 76"/>
          <xdr:cNvSpPr txBox="1">
            <a:spLocks noChangeArrowheads="1"/>
          </xdr:cNvSpPr>
        </xdr:nvSpPr>
        <xdr:spPr bwMode="auto">
          <a:xfrm>
            <a:off x="244792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9900"/>
                </a:solidFill>
                <a:latin typeface="Arial"/>
                <a:cs typeface="Arial"/>
              </a:rPr>
              <a:t>x2</a:t>
            </a:r>
          </a:p>
        </xdr:txBody>
      </xdr:sp>
    </xdr:grpSp>
    <xdr:clientData/>
  </xdr:twoCellAnchor>
  <xdr:twoCellAnchor>
    <xdr:from>
      <xdr:col>2</xdr:col>
      <xdr:colOff>200025</xdr:colOff>
      <xdr:row>50</xdr:row>
      <xdr:rowOff>95250</xdr:rowOff>
    </xdr:from>
    <xdr:to>
      <xdr:col>2</xdr:col>
      <xdr:colOff>447675</xdr:colOff>
      <xdr:row>57</xdr:row>
      <xdr:rowOff>0</xdr:rowOff>
    </xdr:to>
    <xdr:grpSp>
      <xdr:nvGrpSpPr>
        <xdr:cNvPr id="4820617" name="Group 61"/>
        <xdr:cNvGrpSpPr>
          <a:grpSpLocks/>
        </xdr:cNvGrpSpPr>
      </xdr:nvGrpSpPr>
      <xdr:grpSpPr bwMode="auto">
        <a:xfrm>
          <a:off x="1639358" y="9948333"/>
          <a:ext cx="247650" cy="1238250"/>
          <a:chOff x="1676400" y="13268325"/>
          <a:chExt cx="247650" cy="990600"/>
        </a:xfrm>
      </xdr:grpSpPr>
      <xdr:cxnSp macro="">
        <xdr:nvCxnSpPr>
          <xdr:cNvPr id="63" name="Straight Connector 62"/>
          <xdr:cNvCxnSpPr/>
        </xdr:nvCxnSpPr>
        <xdr:spPr>
          <a:xfrm flipV="1">
            <a:off x="1676400" y="13268325"/>
            <a:ext cx="0" cy="990600"/>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64" name="Straight Arrow Connector 63"/>
          <xdr:cNvCxnSpPr/>
        </xdr:nvCxnSpPr>
        <xdr:spPr>
          <a:xfrm>
            <a:off x="1676400" y="13268325"/>
            <a:ext cx="247650"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123825</xdr:colOff>
      <xdr:row>50</xdr:row>
      <xdr:rowOff>0</xdr:rowOff>
    </xdr:from>
    <xdr:to>
      <xdr:col>7</xdr:col>
      <xdr:colOff>11025</xdr:colOff>
      <xdr:row>50</xdr:row>
      <xdr:rowOff>0</xdr:rowOff>
    </xdr:to>
    <xdr:cxnSp macro="">
      <xdr:nvCxnSpPr>
        <xdr:cNvPr id="51" name="Straight Connector 50"/>
        <xdr:cNvCxnSpPr/>
      </xdr:nvCxnSpPr>
      <xdr:spPr>
        <a:xfrm>
          <a:off x="371475" y="9858375"/>
          <a:ext cx="7812000" cy="0"/>
        </a:xfrm>
        <a:prstGeom prst="line">
          <a:avLst/>
        </a:prstGeom>
        <a:ln w="6350">
          <a:solidFill>
            <a:schemeClr val="bg1">
              <a:lumMod val="50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0</xdr:colOff>
      <xdr:row>48</xdr:row>
      <xdr:rowOff>114300</xdr:rowOff>
    </xdr:from>
    <xdr:to>
      <xdr:col>2</xdr:col>
      <xdr:colOff>0</xdr:colOff>
      <xdr:row>55</xdr:row>
      <xdr:rowOff>76200</xdr:rowOff>
    </xdr:to>
    <xdr:cxnSp macro="">
      <xdr:nvCxnSpPr>
        <xdr:cNvPr id="53" name="Straight Connector 52"/>
        <xdr:cNvCxnSpPr/>
      </xdr:nvCxnSpPr>
      <xdr:spPr>
        <a:xfrm>
          <a:off x="1447800" y="10325100"/>
          <a:ext cx="0" cy="1295400"/>
        </a:xfrm>
        <a:prstGeom prst="line">
          <a:avLst/>
        </a:prstGeom>
        <a:ln w="6350">
          <a:solidFill>
            <a:schemeClr val="bg1">
              <a:lumMod val="50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152400</xdr:colOff>
      <xdr:row>185</xdr:row>
      <xdr:rowOff>9525</xdr:rowOff>
    </xdr:from>
    <xdr:to>
      <xdr:col>5</xdr:col>
      <xdr:colOff>590550</xdr:colOff>
      <xdr:row>205</xdr:row>
      <xdr:rowOff>152399</xdr:rowOff>
    </xdr:to>
    <xdr:pic>
      <xdr:nvPicPr>
        <xdr:cNvPr id="3747199" name="Picture 15"/>
        <xdr:cNvPicPr>
          <a:picLocks noChangeAspect="1"/>
        </xdr:cNvPicPr>
      </xdr:nvPicPr>
      <xdr:blipFill>
        <a:blip xmlns:r="http://schemas.openxmlformats.org/officeDocument/2006/relationships" r:embed="rId1"/>
        <a:srcRect/>
        <a:stretch>
          <a:fillRect/>
        </a:stretch>
      </xdr:blipFill>
      <xdr:spPr bwMode="auto">
        <a:xfrm>
          <a:off x="400050" y="42738675"/>
          <a:ext cx="5981700" cy="42862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194</xdr:row>
      <xdr:rowOff>133350</xdr:rowOff>
    </xdr:from>
    <xdr:to>
      <xdr:col>6</xdr:col>
      <xdr:colOff>895350</xdr:colOff>
      <xdr:row>215</xdr:row>
      <xdr:rowOff>57150</xdr:rowOff>
    </xdr:to>
    <xdr:pic>
      <xdr:nvPicPr>
        <xdr:cNvPr id="3747200" name="Picture 14"/>
        <xdr:cNvPicPr>
          <a:picLocks noChangeAspect="1"/>
        </xdr:cNvPicPr>
      </xdr:nvPicPr>
      <xdr:blipFill>
        <a:blip xmlns:r="http://schemas.openxmlformats.org/officeDocument/2006/relationships" r:embed="rId2"/>
        <a:srcRect/>
        <a:stretch>
          <a:fillRect/>
        </a:stretch>
      </xdr:blipFill>
      <xdr:spPr bwMode="auto">
        <a:xfrm>
          <a:off x="1905000" y="44748450"/>
          <a:ext cx="5972175" cy="42767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189</xdr:row>
      <xdr:rowOff>96298</xdr:rowOff>
    </xdr:from>
    <xdr:to>
      <xdr:col>2</xdr:col>
      <xdr:colOff>1590675</xdr:colOff>
      <xdr:row>190</xdr:row>
      <xdr:rowOff>20098</xdr:rowOff>
    </xdr:to>
    <xdr:sp macro="" textlink="">
      <xdr:nvSpPr>
        <xdr:cNvPr id="17" name="Rectangle 16"/>
        <xdr:cNvSpPr/>
      </xdr:nvSpPr>
      <xdr:spPr>
        <a:xfrm>
          <a:off x="2167304" y="39471183"/>
          <a:ext cx="866775" cy="13628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3</xdr:col>
      <xdr:colOff>254978</xdr:colOff>
      <xdr:row>197</xdr:row>
      <xdr:rowOff>90857</xdr:rowOff>
    </xdr:from>
    <xdr:to>
      <xdr:col>3</xdr:col>
      <xdr:colOff>1074128</xdr:colOff>
      <xdr:row>198</xdr:row>
      <xdr:rowOff>141413</xdr:rowOff>
    </xdr:to>
    <xdr:sp macro="" textlink="">
      <xdr:nvSpPr>
        <xdr:cNvPr id="23" name="TextBox 22"/>
        <xdr:cNvSpPr txBox="1"/>
      </xdr:nvSpPr>
      <xdr:spPr>
        <a:xfrm>
          <a:off x="3464170" y="41165588"/>
          <a:ext cx="819150" cy="2630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0"/>
            <a:t>Hungary</a:t>
          </a:r>
        </a:p>
      </xdr:txBody>
    </xdr:sp>
    <xdr:clientData/>
  </xdr:twoCellAnchor>
  <xdr:twoCellAnchor>
    <xdr:from>
      <xdr:col>3</xdr:col>
      <xdr:colOff>1247775</xdr:colOff>
      <xdr:row>200</xdr:row>
      <xdr:rowOff>38100</xdr:rowOff>
    </xdr:from>
    <xdr:to>
      <xdr:col>8</xdr:col>
      <xdr:colOff>1190625</xdr:colOff>
      <xdr:row>220</xdr:row>
      <xdr:rowOff>123825</xdr:rowOff>
    </xdr:to>
    <xdr:pic>
      <xdr:nvPicPr>
        <xdr:cNvPr id="3747203" name="Picture 12"/>
        <xdr:cNvPicPr>
          <a:picLocks noChangeAspect="1"/>
        </xdr:cNvPicPr>
      </xdr:nvPicPr>
      <xdr:blipFill>
        <a:blip xmlns:r="http://schemas.openxmlformats.org/officeDocument/2006/relationships" r:embed="rId3"/>
        <a:srcRect/>
        <a:stretch>
          <a:fillRect/>
        </a:stretch>
      </xdr:blipFill>
      <xdr:spPr bwMode="auto">
        <a:xfrm>
          <a:off x="4448175" y="45910500"/>
          <a:ext cx="6105525" cy="42291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542925</xdr:colOff>
      <xdr:row>206</xdr:row>
      <xdr:rowOff>1048</xdr:rowOff>
    </xdr:from>
    <xdr:to>
      <xdr:col>6</xdr:col>
      <xdr:colOff>476250</xdr:colOff>
      <xdr:row>206</xdr:row>
      <xdr:rowOff>136514</xdr:rowOff>
    </xdr:to>
    <xdr:sp macro="" textlink="">
      <xdr:nvSpPr>
        <xdr:cNvPr id="88" name="Rectangle 87"/>
        <xdr:cNvSpPr/>
      </xdr:nvSpPr>
      <xdr:spPr>
        <a:xfrm>
          <a:off x="6206637" y="42936817"/>
          <a:ext cx="1127613" cy="13546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6</xdr:col>
      <xdr:colOff>312128</xdr:colOff>
      <xdr:row>194</xdr:row>
      <xdr:rowOff>149470</xdr:rowOff>
    </xdr:from>
    <xdr:to>
      <xdr:col>6</xdr:col>
      <xdr:colOff>912937</xdr:colOff>
      <xdr:row>195</xdr:row>
      <xdr:rowOff>142142</xdr:rowOff>
    </xdr:to>
    <xdr:sp macro="" textlink="">
      <xdr:nvSpPr>
        <xdr:cNvPr id="13" name="TextBox 12"/>
        <xdr:cNvSpPr txBox="1"/>
      </xdr:nvSpPr>
      <xdr:spPr>
        <a:xfrm>
          <a:off x="7274903" y="44202595"/>
          <a:ext cx="600809" cy="2022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lang="en-GB" sz="1200" b="0">
              <a:solidFill>
                <a:schemeClr val="bg1"/>
              </a:solidFill>
            </a:rPr>
            <a:t>ECST S </a:t>
          </a:r>
        </a:p>
      </xdr:txBody>
    </xdr:sp>
    <xdr:clientData/>
  </xdr:twoCellAnchor>
  <xdr:twoCellAnchor>
    <xdr:from>
      <xdr:col>3</xdr:col>
      <xdr:colOff>290081</xdr:colOff>
      <xdr:row>197</xdr:row>
      <xdr:rowOff>151534</xdr:rowOff>
    </xdr:from>
    <xdr:to>
      <xdr:col>3</xdr:col>
      <xdr:colOff>335800</xdr:colOff>
      <xdr:row>198</xdr:row>
      <xdr:rowOff>99580</xdr:rowOff>
    </xdr:to>
    <xdr:sp macro="" textlink="">
      <xdr:nvSpPr>
        <xdr:cNvPr id="14" name="Rectangle 13"/>
        <xdr:cNvSpPr/>
      </xdr:nvSpPr>
      <xdr:spPr>
        <a:xfrm>
          <a:off x="3489615" y="40663091"/>
          <a:ext cx="45719" cy="155864"/>
        </a:xfrm>
        <a:prstGeom prst="rect">
          <a:avLst/>
        </a:prstGeom>
        <a:solidFill>
          <a:schemeClr val="tx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5</xdr:col>
      <xdr:colOff>25966</xdr:colOff>
      <xdr:row>185</xdr:row>
      <xdr:rowOff>37580</xdr:rowOff>
    </xdr:from>
    <xdr:to>
      <xdr:col>5</xdr:col>
      <xdr:colOff>626775</xdr:colOff>
      <xdr:row>186</xdr:row>
      <xdr:rowOff>30252</xdr:rowOff>
    </xdr:to>
    <xdr:sp macro="" textlink="">
      <xdr:nvSpPr>
        <xdr:cNvPr id="65" name="TextBox 64"/>
        <xdr:cNvSpPr txBox="1"/>
      </xdr:nvSpPr>
      <xdr:spPr>
        <a:xfrm>
          <a:off x="5798116" y="42204755"/>
          <a:ext cx="600809" cy="2022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lang="en-GB" sz="1200" b="0">
              <a:solidFill>
                <a:schemeClr val="bg1"/>
              </a:solidFill>
            </a:rPr>
            <a:t>ECST </a:t>
          </a:r>
        </a:p>
      </xdr:txBody>
    </xdr:sp>
    <xdr:clientData/>
  </xdr:twoCellAnchor>
  <xdr:twoCellAnchor>
    <xdr:from>
      <xdr:col>6</xdr:col>
      <xdr:colOff>85397</xdr:colOff>
      <xdr:row>191</xdr:row>
      <xdr:rowOff>7429</xdr:rowOff>
    </xdr:from>
    <xdr:to>
      <xdr:col>6</xdr:col>
      <xdr:colOff>85397</xdr:colOff>
      <xdr:row>205</xdr:row>
      <xdr:rowOff>198304</xdr:rowOff>
    </xdr:to>
    <xdr:cxnSp macro="">
      <xdr:nvCxnSpPr>
        <xdr:cNvPr id="21" name="Straight Arrow Connector 20"/>
        <xdr:cNvCxnSpPr/>
      </xdr:nvCxnSpPr>
      <xdr:spPr>
        <a:xfrm flipV="1">
          <a:off x="6929790" y="39624625"/>
          <a:ext cx="0" cy="3096000"/>
        </a:xfrm>
        <a:prstGeom prst="straightConnector1">
          <a:avLst/>
        </a:prstGeom>
        <a:ln w="19050">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1562123</xdr:colOff>
      <xdr:row>189</xdr:row>
      <xdr:rowOff>99772</xdr:rowOff>
    </xdr:from>
    <xdr:to>
      <xdr:col>5</xdr:col>
      <xdr:colOff>1159909</xdr:colOff>
      <xdr:row>189</xdr:row>
      <xdr:rowOff>99772</xdr:rowOff>
    </xdr:to>
    <xdr:cxnSp macro="">
      <xdr:nvCxnSpPr>
        <xdr:cNvPr id="69" name="Straight Arrow Connector 68"/>
        <xdr:cNvCxnSpPr/>
      </xdr:nvCxnSpPr>
      <xdr:spPr>
        <a:xfrm rot="5400000" flipV="1">
          <a:off x="4969310" y="41841085"/>
          <a:ext cx="0" cy="3945668"/>
        </a:xfrm>
        <a:prstGeom prst="straightConnector1">
          <a:avLst/>
        </a:prstGeom>
        <a:ln w="19050">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9507</xdr:colOff>
      <xdr:row>17</xdr:row>
      <xdr:rowOff>76200</xdr:rowOff>
    </xdr:from>
    <xdr:to>
      <xdr:col>1</xdr:col>
      <xdr:colOff>1064794</xdr:colOff>
      <xdr:row>17</xdr:row>
      <xdr:rowOff>171450</xdr:rowOff>
    </xdr:to>
    <xdr:pic>
      <xdr:nvPicPr>
        <xdr:cNvPr id="19" name="Picture 18"/>
        <xdr:cNvPicPr>
          <a:picLocks noChangeAspect="1"/>
        </xdr:cNvPicPr>
      </xdr:nvPicPr>
      <xdr:blipFill>
        <a:blip xmlns:r="http://schemas.openxmlformats.org/officeDocument/2006/relationships" r:embed="rId4"/>
        <a:stretch>
          <a:fillRect/>
        </a:stretch>
      </xdr:blipFill>
      <xdr:spPr bwMode="auto">
        <a:xfrm>
          <a:off x="256036" y="3583641"/>
          <a:ext cx="1055287" cy="9525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3</xdr:col>
      <xdr:colOff>942937</xdr:colOff>
      <xdr:row>26</xdr:row>
      <xdr:rowOff>95250</xdr:rowOff>
    </xdr:from>
    <xdr:to>
      <xdr:col>4</xdr:col>
      <xdr:colOff>631006</xdr:colOff>
      <xdr:row>27</xdr:row>
      <xdr:rowOff>0</xdr:rowOff>
    </xdr:to>
    <xdr:pic>
      <xdr:nvPicPr>
        <xdr:cNvPr id="82" name="Picture 81"/>
        <xdr:cNvPicPr>
          <a:picLocks noChangeAspect="1"/>
        </xdr:cNvPicPr>
      </xdr:nvPicPr>
      <xdr:blipFill>
        <a:blip xmlns:r="http://schemas.openxmlformats.org/officeDocument/2006/relationships" r:embed="rId4"/>
        <a:stretch>
          <a:fillRect/>
        </a:stretch>
      </xdr:blipFill>
      <xdr:spPr bwMode="auto">
        <a:xfrm>
          <a:off x="4136613" y="5317191"/>
          <a:ext cx="1055187" cy="9525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1</xdr:col>
      <xdr:colOff>0</xdr:colOff>
      <xdr:row>17</xdr:row>
      <xdr:rowOff>51197</xdr:rowOff>
    </xdr:from>
    <xdr:to>
      <xdr:col>2</xdr:col>
      <xdr:colOff>152400</xdr:colOff>
      <xdr:row>18</xdr:row>
      <xdr:rowOff>146447</xdr:rowOff>
    </xdr:to>
    <xdr:sp macro="" textlink="">
      <xdr:nvSpPr>
        <xdr:cNvPr id="89" name="Rectangle 88"/>
        <xdr:cNvSpPr/>
      </xdr:nvSpPr>
      <xdr:spPr>
        <a:xfrm>
          <a:off x="226219" y="3551635"/>
          <a:ext cx="1343025" cy="28575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5</xdr:col>
      <xdr:colOff>1076325</xdr:colOff>
      <xdr:row>9</xdr:row>
      <xdr:rowOff>152400</xdr:rowOff>
    </xdr:from>
    <xdr:to>
      <xdr:col>8</xdr:col>
      <xdr:colOff>0</xdr:colOff>
      <xdr:row>13</xdr:row>
      <xdr:rowOff>123825</xdr:rowOff>
    </xdr:to>
    <xdr:grpSp>
      <xdr:nvGrpSpPr>
        <xdr:cNvPr id="4820634" name="Group 2091971"/>
        <xdr:cNvGrpSpPr>
          <a:grpSpLocks/>
        </xdr:cNvGrpSpPr>
      </xdr:nvGrpSpPr>
      <xdr:grpSpPr bwMode="auto">
        <a:xfrm>
          <a:off x="6875992" y="2046817"/>
          <a:ext cx="2511425" cy="733425"/>
          <a:chOff x="7096126" y="1952625"/>
          <a:chExt cx="2495550" cy="735075"/>
        </a:xfrm>
      </xdr:grpSpPr>
      <xdr:pic>
        <xdr:nvPicPr>
          <xdr:cNvPr id="8" name="Picture 7"/>
          <xdr:cNvPicPr>
            <a:picLocks noChangeAspect="1"/>
          </xdr:cNvPicPr>
        </xdr:nvPicPr>
        <xdr:blipFill>
          <a:blip xmlns:r="http://schemas.openxmlformats.org/officeDocument/2006/relationships" r:embed="rId5"/>
          <a:stretch>
            <a:fillRect/>
          </a:stretch>
        </xdr:blipFill>
        <xdr:spPr>
          <a:xfrm>
            <a:off x="7096126" y="1952625"/>
            <a:ext cx="2495550" cy="735075"/>
          </a:xfrm>
          <a:prstGeom prst="rect">
            <a:avLst/>
          </a:prstGeom>
          <a:ln w="3175">
            <a:solidFill>
              <a:schemeClr val="bg1">
                <a:lumMod val="95000"/>
              </a:schemeClr>
            </a:solidFill>
          </a:ln>
          <a:effectLst>
            <a:outerShdw blurRad="50800" dist="38100" dir="2700000" algn="tl" rotWithShape="0">
              <a:prstClr val="black">
                <a:alpha val="40000"/>
              </a:prstClr>
            </a:outerShdw>
          </a:effectLst>
        </xdr:spPr>
      </xdr:pic>
      <xdr:sp macro="" textlink="">
        <xdr:nvSpPr>
          <xdr:cNvPr id="95" name="Rectangle 94"/>
          <xdr:cNvSpPr/>
        </xdr:nvSpPr>
        <xdr:spPr>
          <a:xfrm>
            <a:off x="7096126" y="2086275"/>
            <a:ext cx="476250" cy="458229"/>
          </a:xfrm>
          <a:prstGeom prst="rect">
            <a:avLst/>
          </a:prstGeom>
          <a:noFill/>
          <a:ln w="3175">
            <a:solidFill>
              <a:schemeClr val="bg1">
                <a:lumMod val="9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xdr:col>
      <xdr:colOff>1</xdr:colOff>
      <xdr:row>33</xdr:row>
      <xdr:rowOff>125186</xdr:rowOff>
    </xdr:from>
    <xdr:to>
      <xdr:col>2</xdr:col>
      <xdr:colOff>1442357</xdr:colOff>
      <xdr:row>34</xdr:row>
      <xdr:rowOff>70757</xdr:rowOff>
    </xdr:to>
    <xdr:sp macro="" textlink="">
      <xdr:nvSpPr>
        <xdr:cNvPr id="101" name="Rectangle 100"/>
        <xdr:cNvSpPr/>
      </xdr:nvSpPr>
      <xdr:spPr>
        <a:xfrm>
          <a:off x="228601" y="6667500"/>
          <a:ext cx="2634342" cy="136071"/>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0</xdr:colOff>
      <xdr:row>16</xdr:row>
      <xdr:rowOff>104775</xdr:rowOff>
    </xdr:from>
    <xdr:to>
      <xdr:col>9</xdr:col>
      <xdr:colOff>514350</xdr:colOff>
      <xdr:row>44</xdr:row>
      <xdr:rowOff>104775</xdr:rowOff>
    </xdr:to>
    <xdr:grpSp>
      <xdr:nvGrpSpPr>
        <xdr:cNvPr id="4820636" name="Group 9"/>
        <xdr:cNvGrpSpPr>
          <a:grpSpLocks/>
        </xdr:cNvGrpSpPr>
      </xdr:nvGrpSpPr>
      <xdr:grpSpPr bwMode="auto">
        <a:xfrm>
          <a:off x="243417" y="3406775"/>
          <a:ext cx="11182350" cy="5334000"/>
          <a:chOff x="246529" y="3421716"/>
          <a:chExt cx="10727953" cy="4991100"/>
        </a:xfrm>
      </xdr:grpSpPr>
      <xdr:pic>
        <xdr:nvPicPr>
          <xdr:cNvPr id="3747228" name="Picture 15"/>
          <xdr:cNvPicPr>
            <a:picLocks noChangeAspect="1"/>
          </xdr:cNvPicPr>
        </xdr:nvPicPr>
        <xdr:blipFill>
          <a:blip xmlns:r="http://schemas.openxmlformats.org/officeDocument/2006/relationships" r:embed="rId6"/>
          <a:srcRect/>
          <a:stretch>
            <a:fillRect/>
          </a:stretch>
        </xdr:blipFill>
        <xdr:spPr bwMode="auto">
          <a:xfrm>
            <a:off x="246529" y="3421716"/>
            <a:ext cx="5350234" cy="3404643"/>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747229" name="Picture 21"/>
          <xdr:cNvPicPr>
            <a:picLocks noChangeAspect="1"/>
          </xdr:cNvPicPr>
        </xdr:nvPicPr>
        <xdr:blipFill>
          <a:blip xmlns:r="http://schemas.openxmlformats.org/officeDocument/2006/relationships" r:embed="rId7"/>
          <a:srcRect/>
          <a:stretch>
            <a:fillRect/>
          </a:stretch>
        </xdr:blipFill>
        <xdr:spPr bwMode="auto">
          <a:xfrm>
            <a:off x="4121784" y="5025998"/>
            <a:ext cx="5377719" cy="3386818"/>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747230" name="Picture 26"/>
          <xdr:cNvPicPr>
            <a:picLocks noChangeAspect="1"/>
          </xdr:cNvPicPr>
        </xdr:nvPicPr>
        <xdr:blipFill>
          <a:blip xmlns:r="http://schemas.openxmlformats.org/officeDocument/2006/relationships" r:embed="rId8"/>
          <a:srcRect/>
          <a:stretch>
            <a:fillRect/>
          </a:stretch>
        </xdr:blipFill>
        <xdr:spPr bwMode="auto">
          <a:xfrm>
            <a:off x="9545310" y="5177514"/>
            <a:ext cx="1429172" cy="641713"/>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90" name="Rectangle 89"/>
          <xdr:cNvSpPr/>
        </xdr:nvSpPr>
        <xdr:spPr>
          <a:xfrm>
            <a:off x="4149269" y="3698009"/>
            <a:ext cx="778716" cy="142603"/>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pic>
        <xdr:nvPicPr>
          <xdr:cNvPr id="3747232" name="Picture 2091969"/>
          <xdr:cNvPicPr>
            <a:picLocks noChangeAspect="1"/>
          </xdr:cNvPicPr>
        </xdr:nvPicPr>
        <xdr:blipFill>
          <a:blip xmlns:r="http://schemas.openxmlformats.org/officeDocument/2006/relationships" r:embed="rId9"/>
          <a:srcRect/>
          <a:stretch>
            <a:fillRect/>
          </a:stretch>
        </xdr:blipFill>
        <xdr:spPr bwMode="auto">
          <a:xfrm>
            <a:off x="5633409" y="3689096"/>
            <a:ext cx="1410849" cy="641713"/>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02" name="Rectangle 101"/>
          <xdr:cNvSpPr/>
        </xdr:nvSpPr>
        <xdr:spPr>
          <a:xfrm>
            <a:off x="8052008" y="5418156"/>
            <a:ext cx="778716" cy="160428"/>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2091974" name="Straight Arrow Connector 2091973"/>
          <xdr:cNvCxnSpPr/>
        </xdr:nvCxnSpPr>
        <xdr:spPr>
          <a:xfrm>
            <a:off x="4982952" y="3778223"/>
            <a:ext cx="568004" cy="0"/>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08" name="Straight Arrow Connector 107"/>
          <xdr:cNvCxnSpPr/>
        </xdr:nvCxnSpPr>
        <xdr:spPr>
          <a:xfrm>
            <a:off x="8885692" y="5507283"/>
            <a:ext cx="568004" cy="0"/>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47625</xdr:colOff>
      <xdr:row>83</xdr:row>
      <xdr:rowOff>19050</xdr:rowOff>
    </xdr:from>
    <xdr:to>
      <xdr:col>7</xdr:col>
      <xdr:colOff>228600</xdr:colOff>
      <xdr:row>91</xdr:row>
      <xdr:rowOff>0</xdr:rowOff>
    </xdr:to>
    <xdr:grpSp>
      <xdr:nvGrpSpPr>
        <xdr:cNvPr id="4820637" name="Group 8"/>
        <xdr:cNvGrpSpPr>
          <a:grpSpLocks/>
        </xdr:cNvGrpSpPr>
      </xdr:nvGrpSpPr>
      <xdr:grpSpPr bwMode="auto">
        <a:xfrm>
          <a:off x="291042" y="16539633"/>
          <a:ext cx="8129058" cy="1674284"/>
          <a:chOff x="294154" y="16581344"/>
          <a:chExt cx="8092328" cy="1684244"/>
        </a:xfrm>
      </xdr:grpSpPr>
      <xdr:pic>
        <xdr:nvPicPr>
          <xdr:cNvPr id="4820655" name="Picture 209197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94154" y="16581344"/>
            <a:ext cx="8092328" cy="11518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20656" name="Picture 2091978"/>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94154" y="17723495"/>
            <a:ext cx="8092328" cy="542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371475</xdr:colOff>
      <xdr:row>88</xdr:row>
      <xdr:rowOff>152400</xdr:rowOff>
    </xdr:from>
    <xdr:to>
      <xdr:col>1</xdr:col>
      <xdr:colOff>771525</xdr:colOff>
      <xdr:row>92</xdr:row>
      <xdr:rowOff>47625</xdr:rowOff>
    </xdr:to>
    <xdr:grpSp>
      <xdr:nvGrpSpPr>
        <xdr:cNvPr id="4820638" name="Group 2091980"/>
        <xdr:cNvGrpSpPr>
          <a:grpSpLocks/>
        </xdr:cNvGrpSpPr>
      </xdr:nvGrpSpPr>
      <xdr:grpSpPr bwMode="auto">
        <a:xfrm>
          <a:off x="614892" y="17731317"/>
          <a:ext cx="400050" cy="741891"/>
          <a:chOff x="600075" y="17687925"/>
          <a:chExt cx="400050" cy="685800"/>
        </a:xfrm>
      </xdr:grpSpPr>
      <xdr:sp macro="" textlink="">
        <xdr:nvSpPr>
          <xdr:cNvPr id="91" name="Rectangle 90"/>
          <xdr:cNvSpPr/>
        </xdr:nvSpPr>
        <xdr:spPr>
          <a:xfrm>
            <a:off x="600075" y="17687925"/>
            <a:ext cx="400050" cy="13359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114" name="Straight Arrow Connector 113"/>
          <xdr:cNvCxnSpPr/>
        </xdr:nvCxnSpPr>
        <xdr:spPr>
          <a:xfrm rot="5400000">
            <a:off x="315067" y="18088717"/>
            <a:ext cx="570016" cy="0"/>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171450</xdr:colOff>
      <xdr:row>188</xdr:row>
      <xdr:rowOff>9525</xdr:rowOff>
    </xdr:from>
    <xdr:to>
      <xdr:col>2</xdr:col>
      <xdr:colOff>152400</xdr:colOff>
      <xdr:row>188</xdr:row>
      <xdr:rowOff>200025</xdr:rowOff>
    </xdr:to>
    <xdr:sp macro="" textlink="">
      <xdr:nvSpPr>
        <xdr:cNvPr id="68" name="Rectangle 67"/>
        <xdr:cNvSpPr/>
      </xdr:nvSpPr>
      <xdr:spPr>
        <a:xfrm>
          <a:off x="400050" y="42805350"/>
          <a:ext cx="1171575" cy="190500"/>
        </a:xfrm>
        <a:prstGeom prst="rect">
          <a:avLst/>
        </a:prstGeom>
        <a:noFill/>
        <a:ln w="19050">
          <a:solidFill>
            <a:srgbClr val="66FF33"/>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657225</xdr:colOff>
      <xdr:row>120</xdr:row>
      <xdr:rowOff>95250</xdr:rowOff>
    </xdr:from>
    <xdr:to>
      <xdr:col>14</xdr:col>
      <xdr:colOff>180975</xdr:colOff>
      <xdr:row>121</xdr:row>
      <xdr:rowOff>2505075</xdr:rowOff>
    </xdr:to>
    <xdr:grpSp>
      <xdr:nvGrpSpPr>
        <xdr:cNvPr id="4820640" name="Group 2"/>
        <xdr:cNvGrpSpPr>
          <a:grpSpLocks/>
        </xdr:cNvGrpSpPr>
      </xdr:nvGrpSpPr>
      <xdr:grpSpPr bwMode="auto">
        <a:xfrm>
          <a:off x="900642" y="24532167"/>
          <a:ext cx="16414750" cy="2621491"/>
          <a:chOff x="710142" y="24648583"/>
          <a:chExt cx="15688983" cy="2623282"/>
        </a:xfrm>
      </xdr:grpSpPr>
      <xdr:sp macro="" textlink="">
        <xdr:nvSpPr>
          <xdr:cNvPr id="76" name="TextBox 75"/>
          <xdr:cNvSpPr txBox="1"/>
        </xdr:nvSpPr>
        <xdr:spPr bwMode="auto">
          <a:xfrm>
            <a:off x="710142" y="24648583"/>
            <a:ext cx="693637" cy="2613743"/>
          </a:xfrm>
          <a:prstGeom prst="rect">
            <a:avLst/>
          </a:prstGeom>
          <a:solidFill>
            <a:schemeClr val="bg1">
              <a:lumMod val="95000"/>
            </a:schemeClr>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 Grab</a:t>
            </a:r>
          </a:p>
        </xdr:txBody>
      </xdr:sp>
      <xdr:pic>
        <xdr:nvPicPr>
          <xdr:cNvPr id="4" name="Picture 3"/>
          <xdr:cNvPicPr>
            <a:picLocks noChangeAspect="1"/>
          </xdr:cNvPicPr>
        </xdr:nvPicPr>
        <xdr:blipFill>
          <a:blip xmlns:r="http://schemas.openxmlformats.org/officeDocument/2006/relationships" r:embed="rId12"/>
          <a:stretch>
            <a:fillRect/>
          </a:stretch>
        </xdr:blipFill>
        <xdr:spPr>
          <a:xfrm>
            <a:off x="1440287" y="24648583"/>
            <a:ext cx="14958838" cy="2623282"/>
          </a:xfrm>
          <a:prstGeom prst="rect">
            <a:avLst/>
          </a:prstGeom>
          <a:effectLst>
            <a:outerShdw blurRad="50800" dist="38100" dir="2700000" algn="tl" rotWithShape="0">
              <a:prstClr val="black">
                <a:alpha val="40000"/>
              </a:prstClr>
            </a:outerShdw>
          </a:effectLst>
        </xdr:spPr>
      </xdr:pic>
    </xdr:grpSp>
    <xdr:clientData/>
  </xdr:twoCellAnchor>
  <xdr:twoCellAnchor>
    <xdr:from>
      <xdr:col>1</xdr:col>
      <xdr:colOff>752475</xdr:colOff>
      <xdr:row>153</xdr:row>
      <xdr:rowOff>95250</xdr:rowOff>
    </xdr:from>
    <xdr:to>
      <xdr:col>12</xdr:col>
      <xdr:colOff>180975</xdr:colOff>
      <xdr:row>154</xdr:row>
      <xdr:rowOff>942975</xdr:rowOff>
    </xdr:to>
    <xdr:grpSp>
      <xdr:nvGrpSpPr>
        <xdr:cNvPr id="4820641" name="Group 6"/>
        <xdr:cNvGrpSpPr>
          <a:grpSpLocks/>
        </xdr:cNvGrpSpPr>
      </xdr:nvGrpSpPr>
      <xdr:grpSpPr bwMode="auto">
        <a:xfrm>
          <a:off x="995892" y="34163000"/>
          <a:ext cx="15113000" cy="1059392"/>
          <a:chOff x="803711" y="34314904"/>
          <a:chExt cx="14385902" cy="1054600"/>
        </a:xfrm>
      </xdr:grpSpPr>
      <xdr:sp macro="" textlink="">
        <xdr:nvSpPr>
          <xdr:cNvPr id="75" name="TextBox 74"/>
          <xdr:cNvSpPr txBox="1"/>
        </xdr:nvSpPr>
        <xdr:spPr bwMode="auto">
          <a:xfrm>
            <a:off x="803711" y="34314904"/>
            <a:ext cx="708844" cy="1045099"/>
          </a:xfrm>
          <a:prstGeom prst="rect">
            <a:avLst/>
          </a:prstGeom>
          <a:solidFill>
            <a:schemeClr val="bg1">
              <a:lumMod val="95000"/>
            </a:schemeClr>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 Grab</a:t>
            </a:r>
          </a:p>
        </xdr:txBody>
      </xdr:sp>
      <xdr:pic>
        <xdr:nvPicPr>
          <xdr:cNvPr id="6" name="Picture 5"/>
          <xdr:cNvPicPr>
            <a:picLocks noChangeAspect="1"/>
          </xdr:cNvPicPr>
        </xdr:nvPicPr>
        <xdr:blipFill>
          <a:blip xmlns:r="http://schemas.openxmlformats.org/officeDocument/2006/relationships" r:embed="rId13"/>
          <a:stretch>
            <a:fillRect/>
          </a:stretch>
        </xdr:blipFill>
        <xdr:spPr>
          <a:xfrm>
            <a:off x="1539818" y="34324405"/>
            <a:ext cx="13649795" cy="1045099"/>
          </a:xfrm>
          <a:prstGeom prst="rect">
            <a:avLst/>
          </a:prstGeom>
          <a:effectLst>
            <a:outerShdw blurRad="50800" dist="38100" dir="2700000" algn="tl" rotWithShape="0">
              <a:prstClr val="black">
                <a:alpha val="40000"/>
              </a:prstClr>
            </a:outerShdw>
          </a:effectLst>
        </xdr:spPr>
      </xdr:pic>
    </xdr:grpSp>
    <xdr:clientData/>
  </xdr:twoCellAnchor>
  <xdr:twoCellAnchor>
    <xdr:from>
      <xdr:col>1</xdr:col>
      <xdr:colOff>647700</xdr:colOff>
      <xdr:row>173</xdr:row>
      <xdr:rowOff>95250</xdr:rowOff>
    </xdr:from>
    <xdr:to>
      <xdr:col>9</xdr:col>
      <xdr:colOff>1381125</xdr:colOff>
      <xdr:row>173</xdr:row>
      <xdr:rowOff>971550</xdr:rowOff>
    </xdr:to>
    <xdr:grpSp>
      <xdr:nvGrpSpPr>
        <xdr:cNvPr id="4820642" name="Group 8"/>
        <xdr:cNvGrpSpPr>
          <a:grpSpLocks/>
        </xdr:cNvGrpSpPr>
      </xdr:nvGrpSpPr>
      <xdr:grpSpPr bwMode="auto">
        <a:xfrm>
          <a:off x="891117" y="39200667"/>
          <a:ext cx="11401425" cy="876300"/>
          <a:chOff x="948267" y="39541452"/>
          <a:chExt cx="11400094" cy="876298"/>
        </a:xfrm>
      </xdr:grpSpPr>
      <xdr:grpSp>
        <xdr:nvGrpSpPr>
          <xdr:cNvPr id="4820645" name="Group 17"/>
          <xdr:cNvGrpSpPr>
            <a:grpSpLocks/>
          </xdr:cNvGrpSpPr>
        </xdr:nvGrpSpPr>
        <xdr:grpSpPr bwMode="auto">
          <a:xfrm>
            <a:off x="948267" y="39541452"/>
            <a:ext cx="7776633" cy="857250"/>
            <a:chOff x="938469" y="38682305"/>
            <a:chExt cx="7760646" cy="858980"/>
          </a:xfrm>
        </xdr:grpSpPr>
        <xdr:sp macro="" textlink="">
          <xdr:nvSpPr>
            <xdr:cNvPr id="67" name="TextBox 66"/>
            <xdr:cNvSpPr txBox="1"/>
          </xdr:nvSpPr>
          <xdr:spPr>
            <a:xfrm>
              <a:off x="938469" y="38682305"/>
              <a:ext cx="695558" cy="858978"/>
            </a:xfrm>
            <a:prstGeom prst="rect">
              <a:avLst/>
            </a:prstGeom>
            <a:solidFill>
              <a:schemeClr val="bg1">
                <a:lumMod val="95000"/>
              </a:schemeClr>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 Grab</a:t>
              </a:r>
            </a:p>
          </xdr:txBody>
        </xdr:sp>
        <xdr:sp macro="" textlink="">
          <xdr:nvSpPr>
            <xdr:cNvPr id="73" name="Rectangle 72"/>
            <xdr:cNvSpPr/>
          </xdr:nvSpPr>
          <xdr:spPr bwMode="auto">
            <a:xfrm>
              <a:off x="1672140" y="39379032"/>
              <a:ext cx="7022276" cy="133619"/>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pic>
        <xdr:nvPicPr>
          <xdr:cNvPr id="10" name="Picture 9"/>
          <xdr:cNvPicPr>
            <a:picLocks noChangeAspect="1"/>
          </xdr:cNvPicPr>
        </xdr:nvPicPr>
        <xdr:blipFill>
          <a:blip xmlns:r="http://schemas.openxmlformats.org/officeDocument/2006/relationships" r:embed="rId14"/>
          <a:stretch>
            <a:fillRect/>
          </a:stretch>
        </xdr:blipFill>
        <xdr:spPr>
          <a:xfrm>
            <a:off x="1673901" y="39550977"/>
            <a:ext cx="10674460" cy="866773"/>
          </a:xfrm>
          <a:prstGeom prst="rect">
            <a:avLst/>
          </a:prstGeom>
          <a:effectLst>
            <a:outerShdw blurRad="50800" dist="38100" dir="2700000" algn="tl" rotWithShape="0">
              <a:prstClr val="black">
                <a:alpha val="40000"/>
              </a:prstClr>
            </a:outerShdw>
          </a:effectLst>
        </xdr:spPr>
      </xdr:pic>
    </xdr:grpSp>
    <xdr:clientData/>
  </xdr:twoCellAnchor>
  <xdr:twoCellAnchor>
    <xdr:from>
      <xdr:col>5</xdr:col>
      <xdr:colOff>1047748</xdr:colOff>
      <xdr:row>10</xdr:row>
      <xdr:rowOff>63500</xdr:rowOff>
    </xdr:from>
    <xdr:to>
      <xdr:col>6</xdr:col>
      <xdr:colOff>370416</xdr:colOff>
      <xdr:row>13</xdr:row>
      <xdr:rowOff>42333</xdr:rowOff>
    </xdr:to>
    <xdr:sp macro="" textlink="">
      <xdr:nvSpPr>
        <xdr:cNvPr id="2" name="Rectangle 1"/>
        <xdr:cNvSpPr/>
      </xdr:nvSpPr>
      <xdr:spPr>
        <a:xfrm>
          <a:off x="6847415" y="2148417"/>
          <a:ext cx="518584" cy="550333"/>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7</xdr:col>
      <xdr:colOff>390525</xdr:colOff>
      <xdr:row>24</xdr:row>
      <xdr:rowOff>70909</xdr:rowOff>
    </xdr:from>
    <xdr:to>
      <xdr:col>8</xdr:col>
      <xdr:colOff>581025</xdr:colOff>
      <xdr:row>25</xdr:row>
      <xdr:rowOff>134409</xdr:rowOff>
    </xdr:to>
    <xdr:sp macro="" textlink="">
      <xdr:nvSpPr>
        <xdr:cNvPr id="3" name="TextBox 2"/>
        <xdr:cNvSpPr txBox="1"/>
      </xdr:nvSpPr>
      <xdr:spPr>
        <a:xfrm>
          <a:off x="8562975" y="4900084"/>
          <a:ext cx="1381125" cy="254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Real time prices only</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28575</xdr:colOff>
      <xdr:row>21</xdr:row>
      <xdr:rowOff>66675</xdr:rowOff>
    </xdr:from>
    <xdr:to>
      <xdr:col>5</xdr:col>
      <xdr:colOff>866775</xdr:colOff>
      <xdr:row>38</xdr:row>
      <xdr:rowOff>95250</xdr:rowOff>
    </xdr:to>
    <xdr:pic>
      <xdr:nvPicPr>
        <xdr:cNvPr id="3725974" name="Picture 8"/>
        <xdr:cNvPicPr>
          <a:picLocks noChangeAspect="1"/>
        </xdr:cNvPicPr>
      </xdr:nvPicPr>
      <xdr:blipFill>
        <a:blip xmlns:r="http://schemas.openxmlformats.org/officeDocument/2006/relationships" r:embed="rId1"/>
        <a:srcRect/>
        <a:stretch>
          <a:fillRect/>
        </a:stretch>
      </xdr:blipFill>
      <xdr:spPr bwMode="auto">
        <a:xfrm>
          <a:off x="276225" y="4419600"/>
          <a:ext cx="6057900" cy="32670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14</xdr:col>
      <xdr:colOff>1236000</xdr:colOff>
      <xdr:row>1</xdr:row>
      <xdr:rowOff>135882</xdr:rowOff>
    </xdr:to>
    <xdr:sp macro="" textlink="">
      <xdr:nvSpPr>
        <xdr:cNvPr id="3"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Calculation Overrides</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5</xdr:col>
      <xdr:colOff>1076325</xdr:colOff>
      <xdr:row>28</xdr:row>
      <xdr:rowOff>38100</xdr:rowOff>
    </xdr:from>
    <xdr:to>
      <xdr:col>5</xdr:col>
      <xdr:colOff>1200150</xdr:colOff>
      <xdr:row>28</xdr:row>
      <xdr:rowOff>171450</xdr:rowOff>
    </xdr:to>
    <xdr:pic>
      <xdr:nvPicPr>
        <xdr:cNvPr id="3725976" name="Picture 3"/>
        <xdr:cNvPicPr>
          <a:picLocks noChangeAspect="1"/>
        </xdr:cNvPicPr>
      </xdr:nvPicPr>
      <xdr:blipFill>
        <a:blip xmlns:r="http://schemas.openxmlformats.org/officeDocument/2006/relationships" r:embed="rId2"/>
        <a:srcRect/>
        <a:stretch>
          <a:fillRect/>
        </a:stretch>
      </xdr:blipFill>
      <xdr:spPr bwMode="auto">
        <a:xfrm>
          <a:off x="6543675" y="5724525"/>
          <a:ext cx="123825" cy="1333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523875</xdr:colOff>
      <xdr:row>42</xdr:row>
      <xdr:rowOff>57150</xdr:rowOff>
    </xdr:from>
    <xdr:to>
      <xdr:col>6</xdr:col>
      <xdr:colOff>114300</xdr:colOff>
      <xdr:row>59</xdr:row>
      <xdr:rowOff>85725</xdr:rowOff>
    </xdr:to>
    <xdr:pic>
      <xdr:nvPicPr>
        <xdr:cNvPr id="4020336" name="Picture 16"/>
        <xdr:cNvPicPr>
          <a:picLocks noChangeAspect="1"/>
        </xdr:cNvPicPr>
      </xdr:nvPicPr>
      <xdr:blipFill>
        <a:blip xmlns:r="http://schemas.openxmlformats.org/officeDocument/2006/relationships" r:embed="rId3"/>
        <a:srcRect/>
        <a:stretch>
          <a:fillRect/>
        </a:stretch>
      </xdr:blipFill>
      <xdr:spPr bwMode="auto">
        <a:xfrm>
          <a:off x="771525" y="8410575"/>
          <a:ext cx="6067425" cy="326707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219075</xdr:colOff>
      <xdr:row>78</xdr:row>
      <xdr:rowOff>76200</xdr:rowOff>
    </xdr:from>
    <xdr:to>
      <xdr:col>7</xdr:col>
      <xdr:colOff>381000</xdr:colOff>
      <xdr:row>78</xdr:row>
      <xdr:rowOff>161925</xdr:rowOff>
    </xdr:to>
    <xdr:sp macro="" textlink="">
      <xdr:nvSpPr>
        <xdr:cNvPr id="4809462" name="AutoShape 43"/>
        <xdr:cNvSpPr>
          <a:spLocks noChangeArrowheads="1"/>
        </xdr:cNvSpPr>
      </xdr:nvSpPr>
      <xdr:spPr bwMode="auto">
        <a:xfrm>
          <a:off x="8201025" y="15363825"/>
          <a:ext cx="161925" cy="85725"/>
        </a:xfrm>
        <a:prstGeom prst="rightArrow">
          <a:avLst>
            <a:gd name="adj1" fmla="val 50000"/>
            <a:gd name="adj2" fmla="val 47222"/>
          </a:avLst>
        </a:prstGeom>
        <a:solidFill>
          <a:srgbClr val="FFFFFF"/>
        </a:solidFill>
        <a:ln w="9525">
          <a:solidFill>
            <a:srgbClr val="000000"/>
          </a:solidFill>
          <a:miter lim="800000"/>
          <a:headEnd/>
          <a:tailEnd/>
        </a:ln>
      </xdr:spPr>
    </xdr:sp>
    <xdr:clientData/>
  </xdr:twoCellAnchor>
  <xdr:twoCellAnchor>
    <xdr:from>
      <xdr:col>7</xdr:col>
      <xdr:colOff>581606</xdr:colOff>
      <xdr:row>78</xdr:row>
      <xdr:rowOff>16128</xdr:rowOff>
    </xdr:from>
    <xdr:to>
      <xdr:col>7</xdr:col>
      <xdr:colOff>863122</xdr:colOff>
      <xdr:row>78</xdr:row>
      <xdr:rowOff>168528</xdr:rowOff>
    </xdr:to>
    <xdr:sp macro="" textlink="">
      <xdr:nvSpPr>
        <xdr:cNvPr id="28" name="Text Box 76"/>
        <xdr:cNvSpPr txBox="1">
          <a:spLocks noChangeArrowheads="1"/>
        </xdr:cNvSpPr>
      </xdr:nvSpPr>
      <xdr:spPr bwMode="auto">
        <a:xfrm>
          <a:off x="8630231" y="15275178"/>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4</xdr:col>
      <xdr:colOff>0</xdr:colOff>
      <xdr:row>80</xdr:row>
      <xdr:rowOff>0</xdr:rowOff>
    </xdr:from>
    <xdr:to>
      <xdr:col>8</xdr:col>
      <xdr:colOff>161925</xdr:colOff>
      <xdr:row>80</xdr:row>
      <xdr:rowOff>0</xdr:rowOff>
    </xdr:to>
    <xdr:sp macro="" textlink="">
      <xdr:nvSpPr>
        <xdr:cNvPr id="4809464" name="Line 141"/>
        <xdr:cNvSpPr>
          <a:spLocks noChangeShapeType="1"/>
        </xdr:cNvSpPr>
      </xdr:nvSpPr>
      <xdr:spPr bwMode="auto">
        <a:xfrm>
          <a:off x="4210050" y="15668625"/>
          <a:ext cx="5410200" cy="0"/>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9525</xdr:colOff>
      <xdr:row>82</xdr:row>
      <xdr:rowOff>0</xdr:rowOff>
    </xdr:from>
    <xdr:to>
      <xdr:col>8</xdr:col>
      <xdr:colOff>152400</xdr:colOff>
      <xdr:row>82</xdr:row>
      <xdr:rowOff>0</xdr:rowOff>
    </xdr:to>
    <xdr:sp macro="" textlink="">
      <xdr:nvSpPr>
        <xdr:cNvPr id="4809465" name="Line 142"/>
        <xdr:cNvSpPr>
          <a:spLocks noChangeShapeType="1"/>
        </xdr:cNvSpPr>
      </xdr:nvSpPr>
      <xdr:spPr bwMode="auto">
        <a:xfrm>
          <a:off x="4219575" y="16049625"/>
          <a:ext cx="5391150" cy="0"/>
        </a:xfrm>
        <a:prstGeom prst="line">
          <a:avLst/>
        </a:prstGeom>
        <a:noFill/>
        <a:ln w="317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2</xdr:col>
      <xdr:colOff>390525</xdr:colOff>
      <xdr:row>73</xdr:row>
      <xdr:rowOff>180975</xdr:rowOff>
    </xdr:from>
    <xdr:to>
      <xdr:col>2</xdr:col>
      <xdr:colOff>942975</xdr:colOff>
      <xdr:row>74</xdr:row>
      <xdr:rowOff>133350</xdr:rowOff>
    </xdr:to>
    <xdr:sp macro="" textlink="">
      <xdr:nvSpPr>
        <xdr:cNvPr id="4809466" name="AutoShape 147"/>
        <xdr:cNvSpPr>
          <a:spLocks/>
        </xdr:cNvSpPr>
      </xdr:nvSpPr>
      <xdr:spPr bwMode="auto">
        <a:xfrm rot="-5400000">
          <a:off x="2100262" y="14311313"/>
          <a:ext cx="142875" cy="552450"/>
        </a:xfrm>
        <a:prstGeom prst="leftBrace">
          <a:avLst>
            <a:gd name="adj1" fmla="val 48781"/>
            <a:gd name="adj2" fmla="val 50000"/>
          </a:avLst>
        </a:prstGeom>
        <a:noFill/>
        <a:ln w="9525">
          <a:solidFill>
            <a:srgbClr val="00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1028700</xdr:colOff>
      <xdr:row>73</xdr:row>
      <xdr:rowOff>180975</xdr:rowOff>
    </xdr:from>
    <xdr:to>
      <xdr:col>3</xdr:col>
      <xdr:colOff>933450</xdr:colOff>
      <xdr:row>74</xdr:row>
      <xdr:rowOff>161925</xdr:rowOff>
    </xdr:to>
    <xdr:sp macro="" textlink="">
      <xdr:nvSpPr>
        <xdr:cNvPr id="4809467" name="AutoShape 148"/>
        <xdr:cNvSpPr>
          <a:spLocks/>
        </xdr:cNvSpPr>
      </xdr:nvSpPr>
      <xdr:spPr bwMode="auto">
        <a:xfrm rot="-5400000">
          <a:off x="3124200" y="13925550"/>
          <a:ext cx="171450" cy="1352550"/>
        </a:xfrm>
        <a:prstGeom prst="leftBrace">
          <a:avLst>
            <a:gd name="adj1" fmla="val 127975"/>
            <a:gd name="adj2" fmla="val 50000"/>
          </a:avLst>
        </a:prstGeom>
        <a:noFill/>
        <a:ln w="9525">
          <a:solidFill>
            <a:srgbClr val="00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219075</xdr:colOff>
      <xdr:row>79</xdr:row>
      <xdr:rowOff>66675</xdr:rowOff>
    </xdr:from>
    <xdr:to>
      <xdr:col>7</xdr:col>
      <xdr:colOff>381000</xdr:colOff>
      <xdr:row>79</xdr:row>
      <xdr:rowOff>152400</xdr:rowOff>
    </xdr:to>
    <xdr:sp macro="" textlink="">
      <xdr:nvSpPr>
        <xdr:cNvPr id="4809468" name="AutoShape 162"/>
        <xdr:cNvSpPr>
          <a:spLocks noChangeArrowheads="1"/>
        </xdr:cNvSpPr>
      </xdr:nvSpPr>
      <xdr:spPr bwMode="auto">
        <a:xfrm>
          <a:off x="8201025" y="15544800"/>
          <a:ext cx="161925" cy="85725"/>
        </a:xfrm>
        <a:prstGeom prst="rightArrow">
          <a:avLst>
            <a:gd name="adj1" fmla="val 50000"/>
            <a:gd name="adj2" fmla="val 47222"/>
          </a:avLst>
        </a:prstGeom>
        <a:solidFill>
          <a:srgbClr val="FFFFFF"/>
        </a:solidFill>
        <a:ln w="9525">
          <a:solidFill>
            <a:srgbClr val="000000"/>
          </a:solidFill>
          <a:miter lim="800000"/>
          <a:headEnd/>
          <a:tailEnd/>
        </a:ln>
      </xdr:spPr>
    </xdr:sp>
    <xdr:clientData/>
  </xdr:twoCellAnchor>
  <xdr:twoCellAnchor>
    <xdr:from>
      <xdr:col>7</xdr:col>
      <xdr:colOff>219075</xdr:colOff>
      <xdr:row>80</xdr:row>
      <xdr:rowOff>85725</xdr:rowOff>
    </xdr:from>
    <xdr:to>
      <xdr:col>7</xdr:col>
      <xdr:colOff>381000</xdr:colOff>
      <xdr:row>80</xdr:row>
      <xdr:rowOff>171450</xdr:rowOff>
    </xdr:to>
    <xdr:sp macro="" textlink="">
      <xdr:nvSpPr>
        <xdr:cNvPr id="4809469" name="AutoShape 163"/>
        <xdr:cNvSpPr>
          <a:spLocks noChangeArrowheads="1"/>
        </xdr:cNvSpPr>
      </xdr:nvSpPr>
      <xdr:spPr bwMode="auto">
        <a:xfrm>
          <a:off x="8201025" y="15754350"/>
          <a:ext cx="161925" cy="85725"/>
        </a:xfrm>
        <a:prstGeom prst="rightArrow">
          <a:avLst>
            <a:gd name="adj1" fmla="val 50000"/>
            <a:gd name="adj2" fmla="val 47222"/>
          </a:avLst>
        </a:prstGeom>
        <a:solidFill>
          <a:srgbClr val="FFFFFF"/>
        </a:solidFill>
        <a:ln w="9525">
          <a:solidFill>
            <a:srgbClr val="000000"/>
          </a:solidFill>
          <a:miter lim="800000"/>
          <a:headEnd/>
          <a:tailEnd/>
        </a:ln>
      </xdr:spPr>
    </xdr:sp>
    <xdr:clientData/>
  </xdr:twoCellAnchor>
  <xdr:twoCellAnchor>
    <xdr:from>
      <xdr:col>7</xdr:col>
      <xdr:colOff>219075</xdr:colOff>
      <xdr:row>81</xdr:row>
      <xdr:rowOff>85725</xdr:rowOff>
    </xdr:from>
    <xdr:to>
      <xdr:col>7</xdr:col>
      <xdr:colOff>381000</xdr:colOff>
      <xdr:row>81</xdr:row>
      <xdr:rowOff>171450</xdr:rowOff>
    </xdr:to>
    <xdr:sp macro="" textlink="">
      <xdr:nvSpPr>
        <xdr:cNvPr id="4809470" name="AutoShape 164"/>
        <xdr:cNvSpPr>
          <a:spLocks noChangeArrowheads="1"/>
        </xdr:cNvSpPr>
      </xdr:nvSpPr>
      <xdr:spPr bwMode="auto">
        <a:xfrm>
          <a:off x="8201025" y="15944850"/>
          <a:ext cx="161925" cy="85725"/>
        </a:xfrm>
        <a:prstGeom prst="rightArrow">
          <a:avLst>
            <a:gd name="adj1" fmla="val 50000"/>
            <a:gd name="adj2" fmla="val 47222"/>
          </a:avLst>
        </a:prstGeom>
        <a:solidFill>
          <a:srgbClr val="FFFFFF"/>
        </a:solidFill>
        <a:ln w="9525">
          <a:solidFill>
            <a:srgbClr val="000000"/>
          </a:solidFill>
          <a:miter lim="800000"/>
          <a:headEnd/>
          <a:tailEnd/>
        </a:ln>
      </xdr:spPr>
    </xdr:sp>
    <xdr:clientData/>
  </xdr:twoCellAnchor>
  <xdr:twoCellAnchor>
    <xdr:from>
      <xdr:col>3</xdr:col>
      <xdr:colOff>923925</xdr:colOff>
      <xdr:row>78</xdr:row>
      <xdr:rowOff>9525</xdr:rowOff>
    </xdr:from>
    <xdr:to>
      <xdr:col>3</xdr:col>
      <xdr:colOff>1028700</xdr:colOff>
      <xdr:row>83</xdr:row>
      <xdr:rowOff>0</xdr:rowOff>
    </xdr:to>
    <xdr:sp macro="" textlink="">
      <xdr:nvSpPr>
        <xdr:cNvPr id="4809471" name="AutoShape 165"/>
        <xdr:cNvSpPr>
          <a:spLocks/>
        </xdr:cNvSpPr>
      </xdr:nvSpPr>
      <xdr:spPr bwMode="auto">
        <a:xfrm>
          <a:off x="3876675" y="15297150"/>
          <a:ext cx="104775" cy="942975"/>
        </a:xfrm>
        <a:prstGeom prst="leftBrace">
          <a:avLst>
            <a:gd name="adj1" fmla="val 87625"/>
            <a:gd name="adj2" fmla="val 50306"/>
          </a:avLst>
        </a:prstGeom>
        <a:noFill/>
        <a:ln w="9525">
          <a:solidFill>
            <a:srgbClr val="00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384013</xdr:colOff>
      <xdr:row>75</xdr:row>
      <xdr:rowOff>1</xdr:rowOff>
    </xdr:from>
    <xdr:to>
      <xdr:col>2</xdr:col>
      <xdr:colOff>1050763</xdr:colOff>
      <xdr:row>75</xdr:row>
      <xdr:rowOff>133351</xdr:rowOff>
    </xdr:to>
    <xdr:sp macro="" textlink="">
      <xdr:nvSpPr>
        <xdr:cNvPr id="37" name="Rectangle 221"/>
        <xdr:cNvSpPr>
          <a:spLocks noChangeArrowheads="1"/>
        </xdr:cNvSpPr>
      </xdr:nvSpPr>
      <xdr:spPr bwMode="auto">
        <a:xfrm>
          <a:off x="1955638" y="14687551"/>
          <a:ext cx="666750" cy="133350"/>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0000"/>
              </a:solidFill>
              <a:latin typeface="Arial"/>
              <a:cs typeface="Arial"/>
            </a:rPr>
            <a:t>Regular Part</a:t>
          </a:r>
        </a:p>
      </xdr:txBody>
    </xdr:sp>
    <xdr:clientData/>
  </xdr:twoCellAnchor>
  <xdr:twoCellAnchor>
    <xdr:from>
      <xdr:col>2</xdr:col>
      <xdr:colOff>1405698</xdr:colOff>
      <xdr:row>75</xdr:row>
      <xdr:rowOff>0</xdr:rowOff>
    </xdr:from>
    <xdr:to>
      <xdr:col>3</xdr:col>
      <xdr:colOff>633834</xdr:colOff>
      <xdr:row>75</xdr:row>
      <xdr:rowOff>132849</xdr:rowOff>
    </xdr:to>
    <xdr:sp macro="" textlink="">
      <xdr:nvSpPr>
        <xdr:cNvPr id="38" name="Rectangle 222"/>
        <xdr:cNvSpPr>
          <a:spLocks noChangeArrowheads="1"/>
        </xdr:cNvSpPr>
      </xdr:nvSpPr>
      <xdr:spPr bwMode="auto">
        <a:xfrm>
          <a:off x="2977323" y="14687550"/>
          <a:ext cx="675762" cy="132849"/>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0000"/>
              </a:solidFill>
              <a:latin typeface="Arial"/>
              <a:cs typeface="Arial"/>
            </a:rPr>
            <a:t>Override Part</a:t>
          </a:r>
        </a:p>
      </xdr:txBody>
    </xdr:sp>
    <xdr:clientData/>
  </xdr:twoCellAnchor>
  <xdr:twoCellAnchor>
    <xdr:from>
      <xdr:col>7</xdr:col>
      <xdr:colOff>581606</xdr:colOff>
      <xdr:row>79</xdr:row>
      <xdr:rowOff>16629</xdr:rowOff>
    </xdr:from>
    <xdr:to>
      <xdr:col>7</xdr:col>
      <xdr:colOff>863122</xdr:colOff>
      <xdr:row>79</xdr:row>
      <xdr:rowOff>169029</xdr:rowOff>
    </xdr:to>
    <xdr:sp macro="" textlink="">
      <xdr:nvSpPr>
        <xdr:cNvPr id="41" name="Text Box 76"/>
        <xdr:cNvSpPr txBox="1">
          <a:spLocks noChangeArrowheads="1"/>
        </xdr:cNvSpPr>
      </xdr:nvSpPr>
      <xdr:spPr bwMode="auto">
        <a:xfrm>
          <a:off x="8630231" y="15466179"/>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7</xdr:col>
      <xdr:colOff>581606</xdr:colOff>
      <xdr:row>81</xdr:row>
      <xdr:rowOff>21888</xdr:rowOff>
    </xdr:from>
    <xdr:to>
      <xdr:col>7</xdr:col>
      <xdr:colOff>863122</xdr:colOff>
      <xdr:row>81</xdr:row>
      <xdr:rowOff>174288</xdr:rowOff>
    </xdr:to>
    <xdr:sp macro="" textlink="">
      <xdr:nvSpPr>
        <xdr:cNvPr id="42" name="Text Box 76"/>
        <xdr:cNvSpPr txBox="1">
          <a:spLocks noChangeArrowheads="1"/>
        </xdr:cNvSpPr>
      </xdr:nvSpPr>
      <xdr:spPr bwMode="auto">
        <a:xfrm>
          <a:off x="8630231" y="15852438"/>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7</xdr:col>
      <xdr:colOff>581606</xdr:colOff>
      <xdr:row>80</xdr:row>
      <xdr:rowOff>19467</xdr:rowOff>
    </xdr:from>
    <xdr:to>
      <xdr:col>7</xdr:col>
      <xdr:colOff>863122</xdr:colOff>
      <xdr:row>80</xdr:row>
      <xdr:rowOff>171867</xdr:rowOff>
    </xdr:to>
    <xdr:sp macro="" textlink="">
      <xdr:nvSpPr>
        <xdr:cNvPr id="43" name="Text Box 76"/>
        <xdr:cNvSpPr txBox="1">
          <a:spLocks noChangeArrowheads="1"/>
        </xdr:cNvSpPr>
      </xdr:nvSpPr>
      <xdr:spPr bwMode="auto">
        <a:xfrm>
          <a:off x="8630231" y="15659517"/>
          <a:ext cx="281516" cy="152400"/>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ctr" rtl="0">
            <a:defRPr sz="1000"/>
          </a:pPr>
          <a:r>
            <a:rPr lang="en-US" sz="1000" b="0" i="0" u="none" strike="noStrike" baseline="0">
              <a:solidFill>
                <a:srgbClr val="000000"/>
              </a:solidFill>
              <a:latin typeface="Arial"/>
              <a:cs typeface="Arial"/>
            </a:rPr>
            <a:t>F4</a:t>
          </a:r>
        </a:p>
      </xdr:txBody>
    </xdr:sp>
    <xdr:clientData/>
  </xdr:twoCellAnchor>
  <xdr:twoCellAnchor>
    <xdr:from>
      <xdr:col>5</xdr:col>
      <xdr:colOff>247650</xdr:colOff>
      <xdr:row>110</xdr:row>
      <xdr:rowOff>104775</xdr:rowOff>
    </xdr:from>
    <xdr:to>
      <xdr:col>5</xdr:col>
      <xdr:colOff>1152525</xdr:colOff>
      <xdr:row>110</xdr:row>
      <xdr:rowOff>104775</xdr:rowOff>
    </xdr:to>
    <xdr:cxnSp macro="">
      <xdr:nvCxnSpPr>
        <xdr:cNvPr id="25" name="Straight Arrow Connector 24"/>
        <xdr:cNvCxnSpPr/>
      </xdr:nvCxnSpPr>
      <xdr:spPr>
        <a:xfrm flipH="1">
          <a:off x="5591175" y="21545550"/>
          <a:ext cx="904875"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247650</xdr:colOff>
      <xdr:row>111</xdr:row>
      <xdr:rowOff>95250</xdr:rowOff>
    </xdr:from>
    <xdr:to>
      <xdr:col>5</xdr:col>
      <xdr:colOff>1152525</xdr:colOff>
      <xdr:row>111</xdr:row>
      <xdr:rowOff>95250</xdr:rowOff>
    </xdr:to>
    <xdr:cxnSp macro="">
      <xdr:nvCxnSpPr>
        <xdr:cNvPr id="57" name="Straight Arrow Connector 56"/>
        <xdr:cNvCxnSpPr/>
      </xdr:nvCxnSpPr>
      <xdr:spPr>
        <a:xfrm flipH="1">
          <a:off x="5591175" y="21726525"/>
          <a:ext cx="904875"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352425</xdr:colOff>
      <xdr:row>91</xdr:row>
      <xdr:rowOff>161925</xdr:rowOff>
    </xdr:from>
    <xdr:to>
      <xdr:col>2</xdr:col>
      <xdr:colOff>714375</xdr:colOff>
      <xdr:row>92</xdr:row>
      <xdr:rowOff>152400</xdr:rowOff>
    </xdr:to>
    <xdr:grpSp>
      <xdr:nvGrpSpPr>
        <xdr:cNvPr id="4809479" name="Group 70"/>
        <xdr:cNvGrpSpPr>
          <a:grpSpLocks/>
        </xdr:cNvGrpSpPr>
      </xdr:nvGrpSpPr>
      <xdr:grpSpPr bwMode="auto">
        <a:xfrm>
          <a:off x="1855258" y="18005425"/>
          <a:ext cx="361950" cy="180975"/>
          <a:chOff x="1895475" y="18573749"/>
          <a:chExt cx="361949" cy="180976"/>
        </a:xfrm>
      </xdr:grpSpPr>
      <xdr:sp macro="" textlink="">
        <xdr:nvSpPr>
          <xdr:cNvPr id="66" name="Text Box 76"/>
          <xdr:cNvSpPr txBox="1">
            <a:spLocks noChangeArrowheads="1"/>
          </xdr:cNvSpPr>
        </xdr:nvSpPr>
        <xdr:spPr bwMode="auto">
          <a:xfrm>
            <a:off x="189547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72" name="Text Box 76"/>
          <xdr:cNvSpPr txBox="1">
            <a:spLocks noChangeArrowheads="1"/>
          </xdr:cNvSpPr>
        </xdr:nvSpPr>
        <xdr:spPr bwMode="auto">
          <a:xfrm>
            <a:off x="2085974" y="18592799"/>
            <a:ext cx="171450" cy="161926"/>
          </a:xfrm>
          <a:prstGeom prst="rect">
            <a:avLst/>
          </a:prstGeom>
          <a:solidFill>
            <a:schemeClr val="bg1"/>
          </a:solid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ysClr val="windowText" lastClr="000000"/>
                </a:solidFill>
                <a:latin typeface="Arial"/>
                <a:cs typeface="Arial"/>
              </a:rPr>
              <a:t>x3</a:t>
            </a:r>
          </a:p>
        </xdr:txBody>
      </xdr:sp>
    </xdr:grpSp>
    <xdr:clientData/>
  </xdr:twoCellAnchor>
  <xdr:twoCellAnchor>
    <xdr:from>
      <xdr:col>2</xdr:col>
      <xdr:colOff>809625</xdr:colOff>
      <xdr:row>91</xdr:row>
      <xdr:rowOff>161925</xdr:rowOff>
    </xdr:from>
    <xdr:to>
      <xdr:col>2</xdr:col>
      <xdr:colOff>1171575</xdr:colOff>
      <xdr:row>92</xdr:row>
      <xdr:rowOff>152400</xdr:rowOff>
    </xdr:to>
    <xdr:grpSp>
      <xdr:nvGrpSpPr>
        <xdr:cNvPr id="4809480" name="Group 78"/>
        <xdr:cNvGrpSpPr>
          <a:grpSpLocks/>
        </xdr:cNvGrpSpPr>
      </xdr:nvGrpSpPr>
      <xdr:grpSpPr bwMode="auto">
        <a:xfrm>
          <a:off x="2312458" y="18005425"/>
          <a:ext cx="361950" cy="180975"/>
          <a:chOff x="2257425" y="18573749"/>
          <a:chExt cx="361949" cy="180976"/>
        </a:xfrm>
      </xdr:grpSpPr>
      <xdr:sp macro="" textlink="">
        <xdr:nvSpPr>
          <xdr:cNvPr id="73" name="Text Box 76"/>
          <xdr:cNvSpPr txBox="1">
            <a:spLocks noChangeArrowheads="1"/>
          </xdr:cNvSpPr>
        </xdr:nvSpPr>
        <xdr:spPr bwMode="auto">
          <a:xfrm>
            <a:off x="225742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74" name="Text Box 76"/>
          <xdr:cNvSpPr txBox="1">
            <a:spLocks noChangeArrowheads="1"/>
          </xdr:cNvSpPr>
        </xdr:nvSpPr>
        <xdr:spPr bwMode="auto">
          <a:xfrm>
            <a:off x="244792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ysClr val="windowText" lastClr="000000"/>
                </a:solidFill>
                <a:latin typeface="Arial"/>
                <a:cs typeface="Arial"/>
              </a:rPr>
              <a:t>x2</a:t>
            </a:r>
          </a:p>
        </xdr:txBody>
      </xdr:sp>
    </xdr:grpSp>
    <xdr:clientData/>
  </xdr:twoCellAnchor>
  <xdr:twoCellAnchor>
    <xdr:from>
      <xdr:col>2</xdr:col>
      <xdr:colOff>1295400</xdr:colOff>
      <xdr:row>91</xdr:row>
      <xdr:rowOff>161925</xdr:rowOff>
    </xdr:from>
    <xdr:to>
      <xdr:col>3</xdr:col>
      <xdr:colOff>209550</xdr:colOff>
      <xdr:row>92</xdr:row>
      <xdr:rowOff>152400</xdr:rowOff>
    </xdr:to>
    <xdr:grpSp>
      <xdr:nvGrpSpPr>
        <xdr:cNvPr id="4809481" name="Group 55"/>
        <xdr:cNvGrpSpPr>
          <a:grpSpLocks/>
        </xdr:cNvGrpSpPr>
      </xdr:nvGrpSpPr>
      <xdr:grpSpPr bwMode="auto">
        <a:xfrm>
          <a:off x="2798233" y="18005425"/>
          <a:ext cx="364067" cy="180975"/>
          <a:chOff x="2619375" y="18573749"/>
          <a:chExt cx="361949" cy="180976"/>
        </a:xfrm>
      </xdr:grpSpPr>
      <xdr:sp macro="" textlink="">
        <xdr:nvSpPr>
          <xdr:cNvPr id="75" name="Text Box 76"/>
          <xdr:cNvSpPr txBox="1">
            <a:spLocks noChangeArrowheads="1"/>
          </xdr:cNvSpPr>
        </xdr:nvSpPr>
        <xdr:spPr bwMode="auto">
          <a:xfrm>
            <a:off x="261937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76" name="Text Box 76"/>
          <xdr:cNvSpPr txBox="1">
            <a:spLocks noChangeArrowheads="1"/>
          </xdr:cNvSpPr>
        </xdr:nvSpPr>
        <xdr:spPr bwMode="auto">
          <a:xfrm>
            <a:off x="280987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ysClr val="windowText" lastClr="000000"/>
                </a:solidFill>
                <a:latin typeface="Arial"/>
                <a:cs typeface="Arial"/>
              </a:rPr>
              <a:t>x1</a:t>
            </a:r>
          </a:p>
        </xdr:txBody>
      </xdr:sp>
    </xdr:grpSp>
    <xdr:clientData/>
  </xdr:twoCellAnchor>
  <xdr:twoCellAnchor>
    <xdr:from>
      <xdr:col>3</xdr:col>
      <xdr:colOff>295275</xdr:colOff>
      <xdr:row>91</xdr:row>
      <xdr:rowOff>161925</xdr:rowOff>
    </xdr:from>
    <xdr:to>
      <xdr:col>3</xdr:col>
      <xdr:colOff>657225</xdr:colOff>
      <xdr:row>92</xdr:row>
      <xdr:rowOff>152400</xdr:rowOff>
    </xdr:to>
    <xdr:grpSp>
      <xdr:nvGrpSpPr>
        <xdr:cNvPr id="4809482" name="Group 69"/>
        <xdr:cNvGrpSpPr>
          <a:grpSpLocks/>
        </xdr:cNvGrpSpPr>
      </xdr:nvGrpSpPr>
      <xdr:grpSpPr bwMode="auto">
        <a:xfrm>
          <a:off x="3248025" y="18005425"/>
          <a:ext cx="361950" cy="180975"/>
          <a:chOff x="3409950" y="18573749"/>
          <a:chExt cx="361949" cy="180976"/>
        </a:xfrm>
      </xdr:grpSpPr>
      <xdr:sp macro="" textlink="">
        <xdr:nvSpPr>
          <xdr:cNvPr id="77" name="Text Box 76"/>
          <xdr:cNvSpPr txBox="1">
            <a:spLocks noChangeArrowheads="1"/>
          </xdr:cNvSpPr>
        </xdr:nvSpPr>
        <xdr:spPr bwMode="auto">
          <a:xfrm>
            <a:off x="3409950"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78" name="Text Box 76"/>
          <xdr:cNvSpPr txBox="1">
            <a:spLocks noChangeArrowheads="1"/>
          </xdr:cNvSpPr>
        </xdr:nvSpPr>
        <xdr:spPr bwMode="auto">
          <a:xfrm>
            <a:off x="3600449"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ysClr val="windowText" lastClr="000000"/>
                </a:solidFill>
                <a:latin typeface="Arial"/>
                <a:cs typeface="Arial"/>
              </a:rPr>
              <a:t>x3</a:t>
            </a:r>
          </a:p>
        </xdr:txBody>
      </xdr:sp>
    </xdr:grpSp>
    <xdr:clientData/>
  </xdr:twoCellAnchor>
  <xdr:twoCellAnchor>
    <xdr:from>
      <xdr:col>8</xdr:col>
      <xdr:colOff>323849</xdr:colOff>
      <xdr:row>187</xdr:row>
      <xdr:rowOff>361952</xdr:rowOff>
    </xdr:from>
    <xdr:to>
      <xdr:col>8</xdr:col>
      <xdr:colOff>1171575</xdr:colOff>
      <xdr:row>190</xdr:row>
      <xdr:rowOff>66675</xdr:rowOff>
    </xdr:to>
    <xdr:sp macro="" textlink="">
      <xdr:nvSpPr>
        <xdr:cNvPr id="84" name="Text Box 208"/>
        <xdr:cNvSpPr txBox="1">
          <a:spLocks noChangeArrowheads="1"/>
        </xdr:cNvSpPr>
      </xdr:nvSpPr>
      <xdr:spPr bwMode="auto">
        <a:xfrm>
          <a:off x="9658349" y="31603952"/>
          <a:ext cx="847726" cy="466723"/>
        </a:xfrm>
        <a:prstGeom prst="rect">
          <a:avLst/>
        </a:prstGeom>
        <a:solidFill>
          <a:srgbClr val="FFFFFF"/>
        </a:solidFill>
        <a:ln w="9525">
          <a:solidFill>
            <a:srgbClr val="000000"/>
          </a:solidFill>
          <a:miter lim="800000"/>
          <a:headEnd/>
          <a:tailEnd/>
        </a:ln>
      </xdr:spPr>
      <xdr:txBody>
        <a:bodyPr vertOverflow="clip" wrap="square" lIns="27432" tIns="22860" rIns="0" bIns="0" anchor="t" upright="1"/>
        <a:lstStyle/>
        <a:p>
          <a:pPr algn="l" rtl="0">
            <a:defRPr sz="1000"/>
          </a:pPr>
          <a:r>
            <a:rPr lang="en-US" sz="1000" b="0" i="1" u="none" strike="noStrike" baseline="0">
              <a:solidFill>
                <a:srgbClr val="000000"/>
              </a:solidFill>
              <a:latin typeface="Arial"/>
              <a:cs typeface="Arial"/>
            </a:rPr>
            <a:t>d = daily</a:t>
          </a:r>
        </a:p>
        <a:p>
          <a:pPr algn="l" rtl="0">
            <a:defRPr sz="1000"/>
          </a:pPr>
          <a:r>
            <a:rPr lang="en-US" sz="1000" b="0" i="1" u="none" strike="noStrike" baseline="0">
              <a:solidFill>
                <a:srgbClr val="000000"/>
              </a:solidFill>
              <a:latin typeface="Arial"/>
              <a:cs typeface="Arial"/>
            </a:rPr>
            <a:t>w = weekly</a:t>
          </a:r>
        </a:p>
        <a:p>
          <a:pPr algn="l" rtl="0">
            <a:defRPr sz="1000"/>
          </a:pPr>
          <a:r>
            <a:rPr lang="en-US" sz="1000" b="0" i="1" u="none" strike="noStrike" baseline="0">
              <a:solidFill>
                <a:srgbClr val="000000"/>
              </a:solidFill>
              <a:latin typeface="Arial"/>
              <a:cs typeface="Arial"/>
            </a:rPr>
            <a:t>m = monthly</a:t>
          </a:r>
        </a:p>
        <a:p>
          <a:pPr algn="l" rtl="0">
            <a:defRPr sz="1000"/>
          </a:pPr>
          <a:endParaRPr lang="en-US" sz="1000" b="0" i="1" u="none" strike="noStrike" baseline="0">
            <a:solidFill>
              <a:srgbClr val="000000"/>
            </a:solidFill>
            <a:latin typeface="Arial"/>
            <a:cs typeface="Arial"/>
          </a:endParaRPr>
        </a:p>
      </xdr:txBody>
    </xdr:sp>
    <xdr:clientData/>
  </xdr:twoCellAnchor>
  <xdr:twoCellAnchor>
    <xdr:from>
      <xdr:col>8</xdr:col>
      <xdr:colOff>57150</xdr:colOff>
      <xdr:row>189</xdr:row>
      <xdr:rowOff>0</xdr:rowOff>
    </xdr:from>
    <xdr:to>
      <xdr:col>8</xdr:col>
      <xdr:colOff>308610</xdr:colOff>
      <xdr:row>189</xdr:row>
      <xdr:rowOff>0</xdr:rowOff>
    </xdr:to>
    <xdr:cxnSp macro="">
      <xdr:nvCxnSpPr>
        <xdr:cNvPr id="81" name="Straight Arrow Connector 80"/>
        <xdr:cNvCxnSpPr/>
      </xdr:nvCxnSpPr>
      <xdr:spPr>
        <a:xfrm flipH="1">
          <a:off x="9391650" y="31813500"/>
          <a:ext cx="251460"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371475</xdr:colOff>
      <xdr:row>75</xdr:row>
      <xdr:rowOff>152400</xdr:rowOff>
    </xdr:from>
    <xdr:to>
      <xdr:col>2</xdr:col>
      <xdr:colOff>733425</xdr:colOff>
      <xdr:row>76</xdr:row>
      <xdr:rowOff>142875</xdr:rowOff>
    </xdr:to>
    <xdr:grpSp>
      <xdr:nvGrpSpPr>
        <xdr:cNvPr id="4809485" name="Group 70"/>
        <xdr:cNvGrpSpPr>
          <a:grpSpLocks/>
        </xdr:cNvGrpSpPr>
      </xdr:nvGrpSpPr>
      <xdr:grpSpPr bwMode="auto">
        <a:xfrm>
          <a:off x="1874308" y="14863233"/>
          <a:ext cx="361950" cy="180975"/>
          <a:chOff x="1895475" y="18573749"/>
          <a:chExt cx="361949" cy="180976"/>
        </a:xfrm>
      </xdr:grpSpPr>
      <xdr:sp macro="" textlink="">
        <xdr:nvSpPr>
          <xdr:cNvPr id="54" name="Text Box 76"/>
          <xdr:cNvSpPr txBox="1">
            <a:spLocks noChangeArrowheads="1"/>
          </xdr:cNvSpPr>
        </xdr:nvSpPr>
        <xdr:spPr bwMode="auto">
          <a:xfrm>
            <a:off x="189547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55" name="Text Box 76"/>
          <xdr:cNvSpPr txBox="1">
            <a:spLocks noChangeArrowheads="1"/>
          </xdr:cNvSpPr>
        </xdr:nvSpPr>
        <xdr:spPr bwMode="auto">
          <a:xfrm>
            <a:off x="208597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70C0"/>
                </a:solidFill>
                <a:latin typeface="Arial"/>
                <a:cs typeface="Arial"/>
              </a:rPr>
              <a:t>x3</a:t>
            </a:r>
          </a:p>
        </xdr:txBody>
      </xdr:sp>
    </xdr:grpSp>
    <xdr:clientData/>
  </xdr:twoCellAnchor>
  <xdr:twoCellAnchor>
    <xdr:from>
      <xdr:col>2</xdr:col>
      <xdr:colOff>762000</xdr:colOff>
      <xdr:row>75</xdr:row>
      <xdr:rowOff>152400</xdr:rowOff>
    </xdr:from>
    <xdr:to>
      <xdr:col>2</xdr:col>
      <xdr:colOff>1123950</xdr:colOff>
      <xdr:row>76</xdr:row>
      <xdr:rowOff>142875</xdr:rowOff>
    </xdr:to>
    <xdr:grpSp>
      <xdr:nvGrpSpPr>
        <xdr:cNvPr id="4809486" name="Group 78"/>
        <xdr:cNvGrpSpPr>
          <a:grpSpLocks/>
        </xdr:cNvGrpSpPr>
      </xdr:nvGrpSpPr>
      <xdr:grpSpPr bwMode="auto">
        <a:xfrm>
          <a:off x="2264833" y="14863233"/>
          <a:ext cx="361950" cy="180975"/>
          <a:chOff x="2257425" y="18573749"/>
          <a:chExt cx="361949" cy="180976"/>
        </a:xfrm>
      </xdr:grpSpPr>
      <xdr:sp macro="" textlink="">
        <xdr:nvSpPr>
          <xdr:cNvPr id="59" name="Text Box 76"/>
          <xdr:cNvSpPr txBox="1">
            <a:spLocks noChangeArrowheads="1"/>
          </xdr:cNvSpPr>
        </xdr:nvSpPr>
        <xdr:spPr bwMode="auto">
          <a:xfrm>
            <a:off x="225742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60" name="Text Box 76"/>
          <xdr:cNvSpPr txBox="1">
            <a:spLocks noChangeArrowheads="1"/>
          </xdr:cNvSpPr>
        </xdr:nvSpPr>
        <xdr:spPr bwMode="auto">
          <a:xfrm>
            <a:off x="244792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chemeClr val="accent6">
                    <a:lumMod val="75000"/>
                  </a:schemeClr>
                </a:solidFill>
                <a:latin typeface="Arial"/>
                <a:cs typeface="Arial"/>
              </a:rPr>
              <a:t>x2</a:t>
            </a:r>
          </a:p>
        </xdr:txBody>
      </xdr:sp>
    </xdr:grpSp>
    <xdr:clientData/>
  </xdr:twoCellAnchor>
  <xdr:twoCellAnchor>
    <xdr:from>
      <xdr:col>2</xdr:col>
      <xdr:colOff>1304925</xdr:colOff>
      <xdr:row>75</xdr:row>
      <xdr:rowOff>152400</xdr:rowOff>
    </xdr:from>
    <xdr:to>
      <xdr:col>3</xdr:col>
      <xdr:colOff>219075</xdr:colOff>
      <xdr:row>76</xdr:row>
      <xdr:rowOff>142875</xdr:rowOff>
    </xdr:to>
    <xdr:grpSp>
      <xdr:nvGrpSpPr>
        <xdr:cNvPr id="4809487" name="Group 55"/>
        <xdr:cNvGrpSpPr>
          <a:grpSpLocks/>
        </xdr:cNvGrpSpPr>
      </xdr:nvGrpSpPr>
      <xdr:grpSpPr bwMode="auto">
        <a:xfrm>
          <a:off x="2807758" y="14863233"/>
          <a:ext cx="364067" cy="180975"/>
          <a:chOff x="2619375" y="18573749"/>
          <a:chExt cx="361949" cy="180976"/>
        </a:xfrm>
      </xdr:grpSpPr>
      <xdr:sp macro="" textlink="">
        <xdr:nvSpPr>
          <xdr:cNvPr id="63" name="Text Box 76"/>
          <xdr:cNvSpPr txBox="1">
            <a:spLocks noChangeArrowheads="1"/>
          </xdr:cNvSpPr>
        </xdr:nvSpPr>
        <xdr:spPr bwMode="auto">
          <a:xfrm>
            <a:off x="2619375"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64" name="Text Box 76"/>
          <xdr:cNvSpPr txBox="1">
            <a:spLocks noChangeArrowheads="1"/>
          </xdr:cNvSpPr>
        </xdr:nvSpPr>
        <xdr:spPr bwMode="auto">
          <a:xfrm>
            <a:off x="2809874"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FF0000"/>
                </a:solidFill>
                <a:latin typeface="Arial"/>
                <a:cs typeface="Arial"/>
              </a:rPr>
              <a:t>x1</a:t>
            </a:r>
          </a:p>
        </xdr:txBody>
      </xdr:sp>
    </xdr:grpSp>
    <xdr:clientData/>
  </xdr:twoCellAnchor>
  <xdr:twoCellAnchor>
    <xdr:from>
      <xdr:col>3</xdr:col>
      <xdr:colOff>466725</xdr:colOff>
      <xdr:row>75</xdr:row>
      <xdr:rowOff>152400</xdr:rowOff>
    </xdr:from>
    <xdr:to>
      <xdr:col>3</xdr:col>
      <xdr:colOff>828675</xdr:colOff>
      <xdr:row>76</xdr:row>
      <xdr:rowOff>142875</xdr:rowOff>
    </xdr:to>
    <xdr:grpSp>
      <xdr:nvGrpSpPr>
        <xdr:cNvPr id="4809488" name="Group 69"/>
        <xdr:cNvGrpSpPr>
          <a:grpSpLocks/>
        </xdr:cNvGrpSpPr>
      </xdr:nvGrpSpPr>
      <xdr:grpSpPr bwMode="auto">
        <a:xfrm>
          <a:off x="3419475" y="14863233"/>
          <a:ext cx="361950" cy="180975"/>
          <a:chOff x="3409950" y="18573749"/>
          <a:chExt cx="361949" cy="180976"/>
        </a:xfrm>
      </xdr:grpSpPr>
      <xdr:sp macro="" textlink="">
        <xdr:nvSpPr>
          <xdr:cNvPr id="67" name="Text Box 76"/>
          <xdr:cNvSpPr txBox="1">
            <a:spLocks noChangeArrowheads="1"/>
          </xdr:cNvSpPr>
        </xdr:nvSpPr>
        <xdr:spPr bwMode="auto">
          <a:xfrm>
            <a:off x="3409950" y="18573749"/>
            <a:ext cx="171450" cy="161926"/>
          </a:xfrm>
          <a:prstGeom prst="rect">
            <a:avLst/>
          </a:prstGeom>
          <a:solidFill>
            <a:srgbClr val="FFFF99"/>
          </a:solidFill>
          <a:ln w="3175">
            <a:solidFill>
              <a:srgbClr val="000000"/>
            </a:solidFill>
            <a:miter lim="800000"/>
            <a:headEnd/>
            <a:tailEnd/>
          </a:ln>
        </xdr:spPr>
        <xdr:txBody>
          <a:bodyPr vertOverflow="clip" wrap="square" lIns="27432" tIns="22860" rIns="0" bIns="0" anchor="ctr" upright="1"/>
          <a:lstStyle/>
          <a:p>
            <a:pPr algn="l" rtl="0">
              <a:defRPr sz="1000"/>
            </a:pPr>
            <a:r>
              <a:rPr lang="en-US" sz="800" b="0" i="0" u="none" strike="noStrike" baseline="0">
                <a:solidFill>
                  <a:srgbClr val="000000"/>
                </a:solidFill>
                <a:latin typeface="Arial"/>
                <a:cs typeface="Arial"/>
              </a:rPr>
              <a:t>F4</a:t>
            </a:r>
          </a:p>
        </xdr:txBody>
      </xdr:sp>
      <xdr:sp macro="" textlink="">
        <xdr:nvSpPr>
          <xdr:cNvPr id="68" name="Text Box 76"/>
          <xdr:cNvSpPr txBox="1">
            <a:spLocks noChangeArrowheads="1"/>
          </xdr:cNvSpPr>
        </xdr:nvSpPr>
        <xdr:spPr bwMode="auto">
          <a:xfrm>
            <a:off x="3600449" y="18592799"/>
            <a:ext cx="171450" cy="161926"/>
          </a:xfrm>
          <a:prstGeom prst="rect">
            <a:avLst/>
          </a:prstGeom>
          <a:noFill/>
          <a:ln w="3175">
            <a:noFill/>
            <a:miter lim="800000"/>
            <a:headEnd/>
            <a:tailEnd/>
          </a:ln>
        </xdr:spPr>
        <xdr:txBody>
          <a:bodyPr vertOverflow="clip" wrap="square" lIns="27432" tIns="22860" rIns="0" bIns="0" anchor="t" upright="1"/>
          <a:lstStyle/>
          <a:p>
            <a:pPr algn="l" rtl="0">
              <a:defRPr sz="1000"/>
            </a:pPr>
            <a:r>
              <a:rPr lang="en-US" sz="800" b="0" i="0" u="none" strike="noStrike" baseline="0">
                <a:solidFill>
                  <a:srgbClr val="00B050"/>
                </a:solidFill>
                <a:latin typeface="Arial"/>
                <a:cs typeface="Arial"/>
              </a:rPr>
              <a:t>x3</a:t>
            </a:r>
          </a:p>
        </xdr:txBody>
      </xdr:sp>
    </xdr:grpSp>
    <xdr:clientData/>
  </xdr:twoCellAnchor>
  <xdr:twoCellAnchor>
    <xdr:from>
      <xdr:col>2</xdr:col>
      <xdr:colOff>104775</xdr:colOff>
      <xdr:row>67</xdr:row>
      <xdr:rowOff>104775</xdr:rowOff>
    </xdr:from>
    <xdr:to>
      <xdr:col>2</xdr:col>
      <xdr:colOff>352425</xdr:colOff>
      <xdr:row>72</xdr:row>
      <xdr:rowOff>142875</xdr:rowOff>
    </xdr:to>
    <xdr:grpSp>
      <xdr:nvGrpSpPr>
        <xdr:cNvPr id="4809489" name="Group 21"/>
        <xdr:cNvGrpSpPr>
          <a:grpSpLocks/>
        </xdr:cNvGrpSpPr>
      </xdr:nvGrpSpPr>
      <xdr:grpSpPr bwMode="auto">
        <a:xfrm>
          <a:off x="1607608" y="13291608"/>
          <a:ext cx="247650" cy="990600"/>
          <a:chOff x="1676400" y="13268325"/>
          <a:chExt cx="247650" cy="990600"/>
        </a:xfrm>
      </xdr:grpSpPr>
      <xdr:cxnSp macro="">
        <xdr:nvCxnSpPr>
          <xdr:cNvPr id="18" name="Straight Connector 17"/>
          <xdr:cNvCxnSpPr/>
        </xdr:nvCxnSpPr>
        <xdr:spPr>
          <a:xfrm flipV="1">
            <a:off x="1676400" y="13268325"/>
            <a:ext cx="0" cy="990600"/>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21" name="Straight Arrow Connector 20"/>
          <xdr:cNvCxnSpPr/>
        </xdr:nvCxnSpPr>
        <xdr:spPr>
          <a:xfrm>
            <a:off x="1676400" y="13268325"/>
            <a:ext cx="247650"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342900</xdr:colOff>
      <xdr:row>67</xdr:row>
      <xdr:rowOff>0</xdr:rowOff>
    </xdr:from>
    <xdr:to>
      <xdr:col>8</xdr:col>
      <xdr:colOff>0</xdr:colOff>
      <xdr:row>67</xdr:row>
      <xdr:rowOff>0</xdr:rowOff>
    </xdr:to>
    <xdr:cxnSp macro="">
      <xdr:nvCxnSpPr>
        <xdr:cNvPr id="79" name="Straight Connector 78"/>
        <xdr:cNvCxnSpPr/>
      </xdr:nvCxnSpPr>
      <xdr:spPr>
        <a:xfrm>
          <a:off x="586317" y="13186833"/>
          <a:ext cx="8885766" cy="0"/>
        </a:xfrm>
        <a:prstGeom prst="line">
          <a:avLst/>
        </a:prstGeom>
        <a:ln w="63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0</xdr:colOff>
      <xdr:row>65</xdr:row>
      <xdr:rowOff>171450</xdr:rowOff>
    </xdr:from>
    <xdr:to>
      <xdr:col>2</xdr:col>
      <xdr:colOff>0</xdr:colOff>
      <xdr:row>70</xdr:row>
      <xdr:rowOff>104775</xdr:rowOff>
    </xdr:to>
    <xdr:cxnSp macro="">
      <xdr:nvCxnSpPr>
        <xdr:cNvPr id="80" name="Straight Connector 79"/>
        <xdr:cNvCxnSpPr/>
      </xdr:nvCxnSpPr>
      <xdr:spPr>
        <a:xfrm>
          <a:off x="1571625" y="12954000"/>
          <a:ext cx="0" cy="885825"/>
        </a:xfrm>
        <a:prstGeom prst="line">
          <a:avLst/>
        </a:prstGeom>
        <a:ln w="6350">
          <a:solidFill>
            <a:schemeClr val="bg1">
              <a:lumMod val="65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889002</xdr:colOff>
      <xdr:row>136</xdr:row>
      <xdr:rowOff>103988</xdr:rowOff>
    </xdr:from>
    <xdr:to>
      <xdr:col>2</xdr:col>
      <xdr:colOff>326147</xdr:colOff>
      <xdr:row>136</xdr:row>
      <xdr:rowOff>2962276</xdr:rowOff>
    </xdr:to>
    <xdr:sp macro="" textlink="">
      <xdr:nvSpPr>
        <xdr:cNvPr id="65" name="TextBox 64"/>
        <xdr:cNvSpPr txBox="1"/>
      </xdr:nvSpPr>
      <xdr:spPr>
        <a:xfrm>
          <a:off x="1132419" y="27969905"/>
          <a:ext cx="696561" cy="2858288"/>
        </a:xfrm>
        <a:prstGeom prst="rect">
          <a:avLst/>
        </a:prstGeom>
        <a:solidFill>
          <a:schemeClr val="bg1">
            <a:lumMod val="95000"/>
          </a:schemeClr>
        </a:solidFill>
        <a:ln w="9525" cmpd="sng">
          <a:solidFill>
            <a:schemeClr val="lt1">
              <a:shade val="50000"/>
            </a:schemeClr>
          </a:solidFill>
        </a:ln>
        <a:effectLst>
          <a:outerShdw blurRad="50800" dist="38100" algn="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 Grab</a:t>
          </a:r>
        </a:p>
      </xdr:txBody>
    </xdr:sp>
    <xdr:clientData/>
  </xdr:twoCellAnchor>
  <xdr:twoCellAnchor>
    <xdr:from>
      <xdr:col>1</xdr:col>
      <xdr:colOff>971556</xdr:colOff>
      <xdr:row>121</xdr:row>
      <xdr:rowOff>74537</xdr:rowOff>
    </xdr:from>
    <xdr:to>
      <xdr:col>2</xdr:col>
      <xdr:colOff>408701</xdr:colOff>
      <xdr:row>121</xdr:row>
      <xdr:rowOff>1047750</xdr:rowOff>
    </xdr:to>
    <xdr:sp macro="" textlink="">
      <xdr:nvSpPr>
        <xdr:cNvPr id="69" name="TextBox 68"/>
        <xdr:cNvSpPr txBox="1"/>
      </xdr:nvSpPr>
      <xdr:spPr>
        <a:xfrm>
          <a:off x="1214973" y="23707120"/>
          <a:ext cx="696561" cy="973213"/>
        </a:xfrm>
        <a:prstGeom prst="rect">
          <a:avLst/>
        </a:prstGeom>
        <a:solidFill>
          <a:schemeClr val="bg1">
            <a:lumMod val="95000"/>
          </a:schemeClr>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a:t>
          </a:r>
          <a:r>
            <a:rPr lang="en-GB" sz="1100" b="1" baseline="0">
              <a:solidFill>
                <a:srgbClr val="FF0000"/>
              </a:solidFill>
            </a:rPr>
            <a:t> </a:t>
          </a:r>
          <a:r>
            <a:rPr lang="en-GB" sz="1100" b="1">
              <a:solidFill>
                <a:srgbClr val="FF0000"/>
              </a:solidFill>
            </a:rPr>
            <a:t>Grab</a:t>
          </a:r>
        </a:p>
      </xdr:txBody>
    </xdr:sp>
    <xdr:clientData/>
  </xdr:twoCellAnchor>
  <xdr:twoCellAnchor>
    <xdr:from>
      <xdr:col>2</xdr:col>
      <xdr:colOff>47625</xdr:colOff>
      <xdr:row>196</xdr:row>
      <xdr:rowOff>92076</xdr:rowOff>
    </xdr:from>
    <xdr:to>
      <xdr:col>2</xdr:col>
      <xdr:colOff>742070</xdr:colOff>
      <xdr:row>201</xdr:row>
      <xdr:rowOff>125205</xdr:rowOff>
    </xdr:to>
    <xdr:sp macro="" textlink="">
      <xdr:nvSpPr>
        <xdr:cNvPr id="83" name="TextBox 82"/>
        <xdr:cNvSpPr txBox="1"/>
      </xdr:nvSpPr>
      <xdr:spPr>
        <a:xfrm>
          <a:off x="1550458" y="43494326"/>
          <a:ext cx="694445" cy="985629"/>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nchorCtr="0"/>
        <a:lstStyle/>
        <a:p>
          <a:pPr algn="ctr"/>
          <a:r>
            <a:rPr lang="en-GB" sz="1100" b="1">
              <a:solidFill>
                <a:srgbClr val="FF0000"/>
              </a:solidFill>
            </a:rPr>
            <a:t>Screen</a:t>
          </a:r>
          <a:r>
            <a:rPr lang="en-GB" sz="1100" b="1" baseline="0">
              <a:solidFill>
                <a:srgbClr val="FF0000"/>
              </a:solidFill>
            </a:rPr>
            <a:t> </a:t>
          </a:r>
          <a:r>
            <a:rPr lang="en-GB" sz="1100" b="1">
              <a:solidFill>
                <a:srgbClr val="FF0000"/>
              </a:solidFill>
            </a:rPr>
            <a:t>Grab</a:t>
          </a:r>
        </a:p>
      </xdr:txBody>
    </xdr:sp>
    <xdr:clientData/>
  </xdr:twoCellAnchor>
  <xdr:twoCellAnchor>
    <xdr:from>
      <xdr:col>2</xdr:col>
      <xdr:colOff>752475</xdr:colOff>
      <xdr:row>196</xdr:row>
      <xdr:rowOff>85725</xdr:rowOff>
    </xdr:from>
    <xdr:to>
      <xdr:col>11</xdr:col>
      <xdr:colOff>990600</xdr:colOff>
      <xdr:row>201</xdr:row>
      <xdr:rowOff>161925</xdr:rowOff>
    </xdr:to>
    <xdr:grpSp>
      <xdr:nvGrpSpPr>
        <xdr:cNvPr id="4809495" name="Group 15"/>
        <xdr:cNvGrpSpPr>
          <a:grpSpLocks/>
        </xdr:cNvGrpSpPr>
      </xdr:nvGrpSpPr>
      <xdr:grpSpPr bwMode="auto">
        <a:xfrm>
          <a:off x="2255308" y="43487975"/>
          <a:ext cx="11932709" cy="1028700"/>
          <a:chOff x="2276475" y="44091225"/>
          <a:chExt cx="11742858" cy="990476"/>
        </a:xfrm>
      </xdr:grpSpPr>
      <xdr:pic>
        <xdr:nvPicPr>
          <xdr:cNvPr id="4809504" name="Picture 1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76475" y="44091225"/>
            <a:ext cx="11742858" cy="99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09505" name="Picture 84"/>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43150" y="44910375"/>
            <a:ext cx="7990477" cy="1428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2</xdr:col>
      <xdr:colOff>495300</xdr:colOff>
      <xdr:row>121</xdr:row>
      <xdr:rowOff>85725</xdr:rowOff>
    </xdr:from>
    <xdr:to>
      <xdr:col>11</xdr:col>
      <xdr:colOff>2867025</xdr:colOff>
      <xdr:row>121</xdr:row>
      <xdr:rowOff>1047750</xdr:rowOff>
    </xdr:to>
    <xdr:pic>
      <xdr:nvPicPr>
        <xdr:cNvPr id="4809496" name="Picture 8"/>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000250" y="23726775"/>
          <a:ext cx="14049375" cy="9620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136</xdr:row>
      <xdr:rowOff>104775</xdr:rowOff>
    </xdr:from>
    <xdr:to>
      <xdr:col>16</xdr:col>
      <xdr:colOff>142875</xdr:colOff>
      <xdr:row>136</xdr:row>
      <xdr:rowOff>2981325</xdr:rowOff>
    </xdr:to>
    <xdr:pic>
      <xdr:nvPicPr>
        <xdr:cNvPr id="4809497" name="Picture 9"/>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33575" y="27974925"/>
          <a:ext cx="19078575" cy="28765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971550</xdr:colOff>
      <xdr:row>50</xdr:row>
      <xdr:rowOff>85725</xdr:rowOff>
    </xdr:from>
    <xdr:to>
      <xdr:col>4</xdr:col>
      <xdr:colOff>21982</xdr:colOff>
      <xdr:row>51</xdr:row>
      <xdr:rowOff>57149</xdr:rowOff>
    </xdr:to>
    <xdr:sp macro="" textlink="">
      <xdr:nvSpPr>
        <xdr:cNvPr id="86" name="Rectangle 85"/>
        <xdr:cNvSpPr/>
      </xdr:nvSpPr>
      <xdr:spPr>
        <a:xfrm>
          <a:off x="2476500" y="9963150"/>
          <a:ext cx="1755532" cy="161924"/>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38100</xdr:colOff>
      <xdr:row>22</xdr:row>
      <xdr:rowOff>142876</xdr:rowOff>
    </xdr:from>
    <xdr:to>
      <xdr:col>1</xdr:col>
      <xdr:colOff>981075</xdr:colOff>
      <xdr:row>24</xdr:row>
      <xdr:rowOff>9526</xdr:rowOff>
    </xdr:to>
    <xdr:sp macro="" textlink="">
      <xdr:nvSpPr>
        <xdr:cNvPr id="91" name="Rectangle 90"/>
        <xdr:cNvSpPr/>
      </xdr:nvSpPr>
      <xdr:spPr>
        <a:xfrm>
          <a:off x="285750" y="4686301"/>
          <a:ext cx="942975" cy="24765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28575</xdr:colOff>
      <xdr:row>28</xdr:row>
      <xdr:rowOff>29634</xdr:rowOff>
    </xdr:from>
    <xdr:to>
      <xdr:col>2</xdr:col>
      <xdr:colOff>526807</xdr:colOff>
      <xdr:row>28</xdr:row>
      <xdr:rowOff>169334</xdr:rowOff>
    </xdr:to>
    <xdr:sp macro="" textlink="">
      <xdr:nvSpPr>
        <xdr:cNvPr id="92" name="Rectangle 91"/>
        <xdr:cNvSpPr/>
      </xdr:nvSpPr>
      <xdr:spPr>
        <a:xfrm>
          <a:off x="271992" y="5712884"/>
          <a:ext cx="1757648" cy="139700"/>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523875</xdr:colOff>
      <xdr:row>52</xdr:row>
      <xdr:rowOff>1</xdr:rowOff>
    </xdr:from>
    <xdr:to>
      <xdr:col>6</xdr:col>
      <xdr:colOff>104775</xdr:colOff>
      <xdr:row>58</xdr:row>
      <xdr:rowOff>161925</xdr:rowOff>
    </xdr:to>
    <xdr:sp macro="" textlink="">
      <xdr:nvSpPr>
        <xdr:cNvPr id="95" name="Rectangle 94"/>
        <xdr:cNvSpPr/>
      </xdr:nvSpPr>
      <xdr:spPr>
        <a:xfrm>
          <a:off x="771525" y="10258426"/>
          <a:ext cx="6057900" cy="1304924"/>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533399</xdr:colOff>
      <xdr:row>44</xdr:row>
      <xdr:rowOff>95250</xdr:rowOff>
    </xdr:from>
    <xdr:to>
      <xdr:col>3</xdr:col>
      <xdr:colOff>333374</xdr:colOff>
      <xdr:row>45</xdr:row>
      <xdr:rowOff>47625</xdr:rowOff>
    </xdr:to>
    <xdr:sp macro="" textlink="">
      <xdr:nvSpPr>
        <xdr:cNvPr id="96" name="Rectangle 95"/>
        <xdr:cNvSpPr/>
      </xdr:nvSpPr>
      <xdr:spPr>
        <a:xfrm>
          <a:off x="781049" y="8829675"/>
          <a:ext cx="2505075" cy="1428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5</xdr:col>
      <xdr:colOff>1019175</xdr:colOff>
      <xdr:row>50</xdr:row>
      <xdr:rowOff>85725</xdr:rowOff>
    </xdr:from>
    <xdr:to>
      <xdr:col>6</xdr:col>
      <xdr:colOff>114300</xdr:colOff>
      <xdr:row>51</xdr:row>
      <xdr:rowOff>76200</xdr:rowOff>
    </xdr:to>
    <xdr:sp macro="" textlink="">
      <xdr:nvSpPr>
        <xdr:cNvPr id="97" name="Rectangle 96"/>
        <xdr:cNvSpPr/>
      </xdr:nvSpPr>
      <xdr:spPr>
        <a:xfrm>
          <a:off x="6486525" y="9963150"/>
          <a:ext cx="352425" cy="1809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0</xdr:rowOff>
    </xdr:from>
    <xdr:to>
      <xdr:col>27</xdr:col>
      <xdr:colOff>188250</xdr:colOff>
      <xdr:row>1</xdr:row>
      <xdr:rowOff>148333</xdr:rowOff>
    </xdr:to>
    <xdr:sp macro="" textlink="">
      <xdr:nvSpPr>
        <xdr:cNvPr id="41"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"Error" Substitution</a:t>
          </a:r>
        </a:p>
      </xdr:txBody>
    </xdr:sp>
    <xdr:clientData/>
  </xdr:twoCellAnchor>
  <xdr:twoCellAnchor>
    <xdr:from>
      <xdr:col>0</xdr:col>
      <xdr:colOff>228600</xdr:colOff>
      <xdr:row>4</xdr:row>
      <xdr:rowOff>114300</xdr:rowOff>
    </xdr:from>
    <xdr:to>
      <xdr:col>13</xdr:col>
      <xdr:colOff>390525</xdr:colOff>
      <xdr:row>21</xdr:row>
      <xdr:rowOff>38100</xdr:rowOff>
    </xdr:to>
    <xdr:pic>
      <xdr:nvPicPr>
        <xdr:cNvPr id="4826350" name="Picture 5" descr="21-02-2011 11-05-09.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 y="952500"/>
          <a:ext cx="9305925" cy="34861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14</xdr:col>
      <xdr:colOff>400610</xdr:colOff>
      <xdr:row>22</xdr:row>
      <xdr:rowOff>173132</xdr:rowOff>
    </xdr:from>
    <xdr:to>
      <xdr:col>17</xdr:col>
      <xdr:colOff>226160</xdr:colOff>
      <xdr:row>33</xdr:row>
      <xdr:rowOff>182368</xdr:rowOff>
    </xdr:to>
    <xdr:pic>
      <xdr:nvPicPr>
        <xdr:cNvPr id="4" name="Picture 3"/>
        <xdr:cNvPicPr>
          <a:picLocks noChangeAspect="1"/>
        </xdr:cNvPicPr>
      </xdr:nvPicPr>
      <xdr:blipFill>
        <a:blip xmlns:r="http://schemas.openxmlformats.org/officeDocument/2006/relationships" r:embed="rId2"/>
        <a:stretch>
          <a:fillRect/>
        </a:stretch>
      </xdr:blipFill>
      <xdr:spPr>
        <a:xfrm>
          <a:off x="10258985" y="4783232"/>
          <a:ext cx="1587675" cy="2314286"/>
        </a:xfrm>
        <a:prstGeom prst="rect">
          <a:avLst/>
        </a:prstGeom>
        <a:solidFill>
          <a:schemeClr val="bg1">
            <a:lumMod val="50000"/>
          </a:schemeClr>
        </a:solidFill>
        <a:ln>
          <a:solidFill>
            <a:schemeClr val="bg1">
              <a:lumMod val="65000"/>
            </a:schemeClr>
          </a:solidFill>
        </a:ln>
        <a:effectLst>
          <a:outerShdw blurRad="50800" dist="38100" dir="2700000" algn="tl" rotWithShape="0">
            <a:prstClr val="black">
              <a:alpha val="40000"/>
            </a:prstClr>
          </a:outerShdw>
        </a:effectLst>
      </xdr:spPr>
    </xdr:pic>
    <xdr:clientData/>
  </xdr:twoCellAnchor>
  <xdr:twoCellAnchor>
    <xdr:from>
      <xdr:col>13</xdr:col>
      <xdr:colOff>537762</xdr:colOff>
      <xdr:row>28</xdr:row>
      <xdr:rowOff>40340</xdr:rowOff>
    </xdr:from>
    <xdr:to>
      <xdr:col>14</xdr:col>
      <xdr:colOff>288906</xdr:colOff>
      <xdr:row>29</xdr:row>
      <xdr:rowOff>137577</xdr:rowOff>
    </xdr:to>
    <xdr:sp macro="" textlink="">
      <xdr:nvSpPr>
        <xdr:cNvPr id="16" name="Down Arrow 15"/>
        <xdr:cNvSpPr/>
      </xdr:nvSpPr>
      <xdr:spPr>
        <a:xfrm rot="16200000">
          <a:off x="9805049" y="5886053"/>
          <a:ext cx="308903" cy="470811"/>
        </a:xfrm>
        <a:prstGeom prst="downArrow">
          <a:avLst/>
        </a:prstGeom>
        <a:solidFill>
          <a:srgbClr val="00B050"/>
        </a:solidFill>
        <a:ln w="190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38100</xdr:colOff>
      <xdr:row>24</xdr:row>
      <xdr:rowOff>104775</xdr:rowOff>
    </xdr:from>
    <xdr:to>
      <xdr:col>13</xdr:col>
      <xdr:colOff>428625</xdr:colOff>
      <xdr:row>31</xdr:row>
      <xdr:rowOff>38100</xdr:rowOff>
    </xdr:to>
    <xdr:pic>
      <xdr:nvPicPr>
        <xdr:cNvPr id="4826353" name="Picture 5"/>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5133975"/>
          <a:ext cx="9286875" cy="1400175"/>
        </a:xfrm>
        <a:prstGeom prst="rect">
          <a:avLst/>
        </a:prstGeom>
        <a:noFill/>
        <a:ln w="9525">
          <a:solidFill>
            <a:srgbClr val="BFBFBF"/>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380068</xdr:colOff>
      <xdr:row>28</xdr:row>
      <xdr:rowOff>9649</xdr:rowOff>
    </xdr:from>
    <xdr:to>
      <xdr:col>18</xdr:col>
      <xdr:colOff>235687</xdr:colOff>
      <xdr:row>29</xdr:row>
      <xdr:rowOff>106886</xdr:rowOff>
    </xdr:to>
    <xdr:sp macro="" textlink="">
      <xdr:nvSpPr>
        <xdr:cNvPr id="47" name="Down Arrow 46"/>
        <xdr:cNvSpPr/>
      </xdr:nvSpPr>
      <xdr:spPr>
        <a:xfrm rot="16200000">
          <a:off x="12133759" y="5856042"/>
          <a:ext cx="308903" cy="469452"/>
        </a:xfrm>
        <a:prstGeom prst="downArrow">
          <a:avLst/>
        </a:prstGeom>
        <a:solidFill>
          <a:srgbClr val="00B050"/>
        </a:solidFill>
        <a:ln w="190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22</xdr:col>
      <xdr:colOff>78442</xdr:colOff>
      <xdr:row>38</xdr:row>
      <xdr:rowOff>58084</xdr:rowOff>
    </xdr:from>
    <xdr:to>
      <xdr:col>22</xdr:col>
      <xdr:colOff>414608</xdr:colOff>
      <xdr:row>40</xdr:row>
      <xdr:rowOff>62676</xdr:rowOff>
    </xdr:to>
    <xdr:sp macro="" textlink="">
      <xdr:nvSpPr>
        <xdr:cNvPr id="29" name="Down Arrow 28"/>
        <xdr:cNvSpPr/>
      </xdr:nvSpPr>
      <xdr:spPr>
        <a:xfrm>
          <a:off x="14821025" y="8101417"/>
          <a:ext cx="336166" cy="427926"/>
        </a:xfrm>
        <a:prstGeom prst="downArrow">
          <a:avLst/>
        </a:prstGeom>
        <a:solidFill>
          <a:srgbClr val="00B050"/>
        </a:solidFill>
        <a:ln w="190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9</xdr:col>
      <xdr:colOff>7657</xdr:colOff>
      <xdr:row>20</xdr:row>
      <xdr:rowOff>146048</xdr:rowOff>
    </xdr:from>
    <xdr:to>
      <xdr:col>9</xdr:col>
      <xdr:colOff>349250</xdr:colOff>
      <xdr:row>22</xdr:row>
      <xdr:rowOff>148166</xdr:rowOff>
    </xdr:to>
    <xdr:sp macro="" textlink="">
      <xdr:nvSpPr>
        <xdr:cNvPr id="56" name="Down Arrow 55"/>
        <xdr:cNvSpPr/>
      </xdr:nvSpPr>
      <xdr:spPr>
        <a:xfrm>
          <a:off x="6601074" y="4379381"/>
          <a:ext cx="341593" cy="425452"/>
        </a:xfrm>
        <a:prstGeom prst="downArrow">
          <a:avLst/>
        </a:prstGeom>
        <a:solidFill>
          <a:srgbClr val="00B050"/>
        </a:solidFill>
        <a:ln w="190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3</xdr:col>
      <xdr:colOff>0</xdr:colOff>
      <xdr:row>13</xdr:row>
      <xdr:rowOff>169333</xdr:rowOff>
    </xdr:from>
    <xdr:to>
      <xdr:col>10</xdr:col>
      <xdr:colOff>582083</xdr:colOff>
      <xdr:row>20</xdr:row>
      <xdr:rowOff>31751</xdr:rowOff>
    </xdr:to>
    <xdr:sp macro="" textlink="">
      <xdr:nvSpPr>
        <xdr:cNvPr id="2" name="Rectangle 1"/>
        <xdr:cNvSpPr/>
      </xdr:nvSpPr>
      <xdr:spPr>
        <a:xfrm>
          <a:off x="2804583" y="2921000"/>
          <a:ext cx="4984750" cy="1344084"/>
        </a:xfrm>
        <a:prstGeom prst="rect">
          <a:avLst/>
        </a:prstGeom>
        <a:noFill/>
        <a:ln w="2540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25406</xdr:colOff>
      <xdr:row>13</xdr:row>
      <xdr:rowOff>184155</xdr:rowOff>
    </xdr:from>
    <xdr:to>
      <xdr:col>1</xdr:col>
      <xdr:colOff>1333500</xdr:colOff>
      <xdr:row>20</xdr:row>
      <xdr:rowOff>35989</xdr:rowOff>
    </xdr:to>
    <xdr:sp macro="" textlink="">
      <xdr:nvSpPr>
        <xdr:cNvPr id="27" name="Rectangle 26"/>
        <xdr:cNvSpPr/>
      </xdr:nvSpPr>
      <xdr:spPr>
        <a:xfrm>
          <a:off x="268823" y="2935822"/>
          <a:ext cx="1308094" cy="1333500"/>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12</xdr:col>
      <xdr:colOff>476249</xdr:colOff>
      <xdr:row>26</xdr:row>
      <xdr:rowOff>190500</xdr:rowOff>
    </xdr:from>
    <xdr:to>
      <xdr:col>13</xdr:col>
      <xdr:colOff>391584</xdr:colOff>
      <xdr:row>30</xdr:row>
      <xdr:rowOff>74083</xdr:rowOff>
    </xdr:to>
    <xdr:sp macro="" textlink="">
      <xdr:nvSpPr>
        <xdr:cNvPr id="28" name="Rectangle 27"/>
        <xdr:cNvSpPr/>
      </xdr:nvSpPr>
      <xdr:spPr>
        <a:xfrm>
          <a:off x="9048749" y="5693833"/>
          <a:ext cx="529168" cy="730250"/>
        </a:xfrm>
        <a:prstGeom prst="rect">
          <a:avLst/>
        </a:prstGeom>
        <a:noFill/>
        <a:ln w="2540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18</xdr:col>
      <xdr:colOff>296332</xdr:colOff>
      <xdr:row>38</xdr:row>
      <xdr:rowOff>201084</xdr:rowOff>
    </xdr:from>
    <xdr:to>
      <xdr:col>21</xdr:col>
      <xdr:colOff>412749</xdr:colOff>
      <xdr:row>40</xdr:row>
      <xdr:rowOff>74083</xdr:rowOff>
    </xdr:to>
    <xdr:sp macro="" textlink="">
      <xdr:nvSpPr>
        <xdr:cNvPr id="5" name="TextBox 4"/>
        <xdr:cNvSpPr txBox="1"/>
      </xdr:nvSpPr>
      <xdr:spPr>
        <a:xfrm>
          <a:off x="12583582" y="8244417"/>
          <a:ext cx="1957917" cy="29633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a:solidFill>
                <a:srgbClr val="00B050"/>
              </a:solidFill>
            </a:rPr>
            <a:t>Error substitution used</a:t>
          </a:r>
        </a:p>
      </xdr:txBody>
    </xdr:sp>
    <xdr:clientData/>
  </xdr:twoCellAnchor>
  <xdr:twoCellAnchor>
    <xdr:from>
      <xdr:col>18</xdr:col>
      <xdr:colOff>381000</xdr:colOff>
      <xdr:row>11</xdr:row>
      <xdr:rowOff>152400</xdr:rowOff>
    </xdr:from>
    <xdr:to>
      <xdr:col>25</xdr:col>
      <xdr:colOff>495300</xdr:colOff>
      <xdr:row>38</xdr:row>
      <xdr:rowOff>19050</xdr:rowOff>
    </xdr:to>
    <xdr:grpSp>
      <xdr:nvGrpSpPr>
        <xdr:cNvPr id="4826361" name="Group 5"/>
        <xdr:cNvGrpSpPr>
          <a:grpSpLocks/>
        </xdr:cNvGrpSpPr>
      </xdr:nvGrpSpPr>
      <xdr:grpSpPr bwMode="auto">
        <a:xfrm>
          <a:off x="12668250" y="2480733"/>
          <a:ext cx="4411133" cy="5528734"/>
          <a:chOff x="12668250" y="1634067"/>
          <a:chExt cx="4401608" cy="5541433"/>
        </a:xfrm>
      </xdr:grpSpPr>
      <xdr:grpSp>
        <xdr:nvGrpSpPr>
          <xdr:cNvPr id="4826369" name="Group 14"/>
          <xdr:cNvGrpSpPr>
            <a:grpSpLocks/>
          </xdr:cNvGrpSpPr>
        </xdr:nvGrpSpPr>
        <xdr:grpSpPr bwMode="auto">
          <a:xfrm>
            <a:off x="12668250" y="1634067"/>
            <a:ext cx="4401608" cy="5541433"/>
            <a:chOff x="10134600" y="1885950"/>
            <a:chExt cx="4371429" cy="5266667"/>
          </a:xfrm>
        </xdr:grpSpPr>
        <xdr:grpSp>
          <xdr:nvGrpSpPr>
            <xdr:cNvPr id="4826372" name="Group 13"/>
            <xdr:cNvGrpSpPr>
              <a:grpSpLocks/>
            </xdr:cNvGrpSpPr>
          </xdr:nvGrpSpPr>
          <xdr:grpSpPr bwMode="auto">
            <a:xfrm>
              <a:off x="10134600" y="1885950"/>
              <a:ext cx="4371429" cy="5266667"/>
              <a:chOff x="10099301" y="1893234"/>
              <a:chExt cx="4339493" cy="5269468"/>
            </a:xfrm>
          </xdr:grpSpPr>
          <xdr:pic>
            <xdr:nvPicPr>
              <xdr:cNvPr id="4630088" name="Picture 11"/>
              <xdr:cNvPicPr>
                <a:picLocks noChangeAspect="1"/>
              </xdr:cNvPicPr>
            </xdr:nvPicPr>
            <xdr:blipFill>
              <a:blip xmlns:r="http://schemas.openxmlformats.org/officeDocument/2006/relationships" r:embed="rId4"/>
              <a:srcRect/>
              <a:stretch>
                <a:fillRect/>
              </a:stretch>
            </xdr:blipFill>
            <xdr:spPr bwMode="auto">
              <a:xfrm>
                <a:off x="10099301" y="1893234"/>
                <a:ext cx="4339493" cy="5269468"/>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439504" name="Picture 12"/>
              <xdr:cNvPicPr>
                <a:picLocks noChangeAspect="1"/>
              </xdr:cNvPicPr>
            </xdr:nvPicPr>
            <xdr:blipFill>
              <a:blip xmlns:r="http://schemas.openxmlformats.org/officeDocument/2006/relationships" r:embed="rId5"/>
              <a:srcRect/>
              <a:stretch>
                <a:fillRect/>
              </a:stretch>
            </xdr:blipFill>
            <xdr:spPr bwMode="auto">
              <a:xfrm>
                <a:off x="10457781" y="5843044"/>
                <a:ext cx="2367854" cy="210779"/>
              </a:xfrm>
              <a:prstGeom prst="rect">
                <a:avLst/>
              </a:prstGeom>
              <a:ln>
                <a:noFill/>
              </a:ln>
              <a:effectLst>
                <a:outerShdw blurRad="292100" dist="139700" dir="2700000" algn="tl" rotWithShape="0">
                  <a:srgbClr val="333333">
                    <a:alpha val="65000"/>
                  </a:srgb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439502" name="Picture 9"/>
            <xdr:cNvPicPr>
              <a:picLocks noChangeAspect="1"/>
            </xdr:cNvPicPr>
          </xdr:nvPicPr>
          <xdr:blipFill>
            <a:blip xmlns:r="http://schemas.openxmlformats.org/officeDocument/2006/relationships" r:embed="rId6"/>
            <a:srcRect/>
            <a:stretch>
              <a:fillRect/>
            </a:stretch>
          </xdr:blipFill>
          <xdr:spPr bwMode="auto">
            <a:xfrm>
              <a:off x="11683606" y="5201660"/>
              <a:ext cx="1187888" cy="696116"/>
            </a:xfrm>
            <a:prstGeom prst="rect">
              <a:avLst/>
            </a:prstGeom>
            <a:ln>
              <a:noFill/>
            </a:ln>
            <a:effectLst>
              <a:outerShdw blurRad="50800" dist="38100" dir="30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31" name="Rectangle 30"/>
          <xdr:cNvSpPr/>
        </xdr:nvSpPr>
        <xdr:spPr>
          <a:xfrm>
            <a:off x="13012724" y="5142035"/>
            <a:ext cx="1071696" cy="221657"/>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33" name="Rectangle 32"/>
          <xdr:cNvSpPr/>
        </xdr:nvSpPr>
        <xdr:spPr>
          <a:xfrm>
            <a:off x="15452745" y="2906187"/>
            <a:ext cx="899459" cy="269844"/>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18</xdr:col>
      <xdr:colOff>390525</xdr:colOff>
      <xdr:row>40</xdr:row>
      <xdr:rowOff>152400</xdr:rowOff>
    </xdr:from>
    <xdr:to>
      <xdr:col>32</xdr:col>
      <xdr:colOff>600075</xdr:colOff>
      <xdr:row>72</xdr:row>
      <xdr:rowOff>209550</xdr:rowOff>
    </xdr:to>
    <xdr:grpSp>
      <xdr:nvGrpSpPr>
        <xdr:cNvPr id="4826362" name="Group 7"/>
        <xdr:cNvGrpSpPr>
          <a:grpSpLocks/>
        </xdr:cNvGrpSpPr>
      </xdr:nvGrpSpPr>
      <xdr:grpSpPr bwMode="auto">
        <a:xfrm>
          <a:off x="12677775" y="8566150"/>
          <a:ext cx="8803217" cy="6830483"/>
          <a:chOff x="12679892" y="8555563"/>
          <a:chExt cx="8959850" cy="7004050"/>
        </a:xfrm>
      </xdr:grpSpPr>
      <xdr:grpSp>
        <xdr:nvGrpSpPr>
          <xdr:cNvPr id="4826365" name="Group 5"/>
          <xdr:cNvGrpSpPr>
            <a:grpSpLocks/>
          </xdr:cNvGrpSpPr>
        </xdr:nvGrpSpPr>
        <xdr:grpSpPr bwMode="auto">
          <a:xfrm>
            <a:off x="12679892" y="8555563"/>
            <a:ext cx="8959850" cy="7004050"/>
            <a:chOff x="12638018" y="6861363"/>
            <a:chExt cx="8944934" cy="6851335"/>
          </a:xfrm>
        </xdr:grpSpPr>
        <xdr:pic>
          <xdr:nvPicPr>
            <xdr:cNvPr id="3" name="Picture 2"/>
            <xdr:cNvPicPr>
              <a:picLocks noChangeAspect="1"/>
            </xdr:cNvPicPr>
          </xdr:nvPicPr>
          <xdr:blipFill>
            <a:blip xmlns:r="http://schemas.openxmlformats.org/officeDocument/2006/relationships" r:embed="rId7"/>
            <a:stretch>
              <a:fillRect/>
            </a:stretch>
          </xdr:blipFill>
          <xdr:spPr>
            <a:xfrm>
              <a:off x="12638018" y="6861363"/>
              <a:ext cx="8944934" cy="6851335"/>
            </a:xfrm>
            <a:prstGeom prst="rect">
              <a:avLst/>
            </a:prstGeom>
            <a:noFill/>
            <a:ln>
              <a:solidFill>
                <a:schemeClr val="bg1">
                  <a:lumMod val="65000"/>
                </a:schemeClr>
              </a:solidFill>
            </a:ln>
            <a:effectLst>
              <a:outerShdw blurRad="50800" dist="38100" dir="2700000" algn="tl" rotWithShape="0">
                <a:prstClr val="black">
                  <a:alpha val="40000"/>
                </a:prstClr>
              </a:outerShdw>
            </a:effectLst>
          </xdr:spPr>
        </xdr:pic>
        <xdr:sp macro="" textlink="">
          <xdr:nvSpPr>
            <xdr:cNvPr id="30" name="TextBox 29"/>
            <xdr:cNvSpPr txBox="1"/>
          </xdr:nvSpPr>
          <xdr:spPr>
            <a:xfrm>
              <a:off x="12676994" y="10103685"/>
              <a:ext cx="4716065" cy="3763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a:solidFill>
                    <a:srgbClr val="FF0000"/>
                  </a:solidFill>
                </a:rPr>
                <a:t>Error substitution NOT used</a:t>
              </a:r>
            </a:p>
          </xdr:txBody>
        </xdr:sp>
      </xdr:grpSp>
      <xdr:sp macro="" textlink="">
        <xdr:nvSpPr>
          <xdr:cNvPr id="7" name="Rectangle 6"/>
          <xdr:cNvSpPr/>
        </xdr:nvSpPr>
        <xdr:spPr>
          <a:xfrm>
            <a:off x="13607110" y="14356100"/>
            <a:ext cx="5738989" cy="1164053"/>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11</xdr:col>
      <xdr:colOff>74083</xdr:colOff>
      <xdr:row>16</xdr:row>
      <xdr:rowOff>137583</xdr:rowOff>
    </xdr:from>
    <xdr:to>
      <xdr:col>13</xdr:col>
      <xdr:colOff>296334</xdr:colOff>
      <xdr:row>18</xdr:row>
      <xdr:rowOff>171469</xdr:rowOff>
    </xdr:to>
    <xdr:sp macro="" textlink="">
      <xdr:nvSpPr>
        <xdr:cNvPr id="32" name="TextBox 31"/>
        <xdr:cNvSpPr txBox="1"/>
      </xdr:nvSpPr>
      <xdr:spPr>
        <a:xfrm rot="20623647">
          <a:off x="8032750" y="3524250"/>
          <a:ext cx="1449917" cy="4572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solidFill>
                <a:srgbClr val="FF0000"/>
              </a:solidFill>
            </a:rPr>
            <a:t>This is a screen </a:t>
          </a:r>
          <a:br>
            <a:rPr lang="en-GB" sz="1100">
              <a:solidFill>
                <a:srgbClr val="FF0000"/>
              </a:solidFill>
            </a:rPr>
          </a:br>
          <a:r>
            <a:rPr lang="en-GB" sz="1100">
              <a:solidFill>
                <a:srgbClr val="FF0000"/>
              </a:solidFill>
            </a:rPr>
            <a:t>shot of my</a:t>
          </a:r>
          <a:r>
            <a:rPr lang="en-GB" sz="1100" baseline="0">
              <a:solidFill>
                <a:srgbClr val="FF0000"/>
              </a:solidFill>
            </a:rPr>
            <a:t> screen</a:t>
          </a:r>
          <a:endParaRPr lang="en-GB" sz="1100">
            <a:solidFill>
              <a:srgbClr val="FF0000"/>
            </a:solidFill>
          </a:endParaRPr>
        </a:p>
      </xdr:txBody>
    </xdr:sp>
    <xdr:clientData/>
  </xdr:twoCellAnchor>
  <xdr:twoCellAnchor>
    <xdr:from>
      <xdr:col>16</xdr:col>
      <xdr:colOff>380999</xdr:colOff>
      <xdr:row>53</xdr:row>
      <xdr:rowOff>127000</xdr:rowOff>
    </xdr:from>
    <xdr:to>
      <xdr:col>19</xdr:col>
      <xdr:colOff>63500</xdr:colOff>
      <xdr:row>55</xdr:row>
      <xdr:rowOff>160886</xdr:rowOff>
    </xdr:to>
    <xdr:sp macro="" textlink="">
      <xdr:nvSpPr>
        <xdr:cNvPr id="34" name="TextBox 33"/>
        <xdr:cNvSpPr txBox="1"/>
      </xdr:nvSpPr>
      <xdr:spPr>
        <a:xfrm rot="20623647">
          <a:off x="11514666" y="11292417"/>
          <a:ext cx="1449917" cy="4572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a:solidFill>
                <a:srgbClr val="FF0000"/>
              </a:solidFill>
            </a:rPr>
            <a:t>This is a screen </a:t>
          </a:r>
          <a:br>
            <a:rPr lang="en-GB" sz="1100">
              <a:solidFill>
                <a:srgbClr val="FF0000"/>
              </a:solidFill>
            </a:rPr>
          </a:br>
          <a:r>
            <a:rPr lang="en-GB" sz="1100">
              <a:solidFill>
                <a:srgbClr val="FF0000"/>
              </a:solidFill>
            </a:rPr>
            <a:t>shot of my</a:t>
          </a:r>
          <a:r>
            <a:rPr lang="en-GB" sz="1100" baseline="0">
              <a:solidFill>
                <a:srgbClr val="FF0000"/>
              </a:solidFill>
            </a:rPr>
            <a:t> screen</a:t>
          </a:r>
          <a:endParaRPr lang="en-GB" sz="1100">
            <a:solidFill>
              <a:srgbClr val="FF0000"/>
            </a:solidFill>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0</xdr:rowOff>
    </xdr:from>
    <xdr:to>
      <xdr:col>26</xdr:col>
      <xdr:colOff>29500</xdr:colOff>
      <xdr:row>1</xdr:row>
      <xdr:rowOff>137750</xdr:rowOff>
    </xdr:to>
    <xdr:sp macro="" textlink="">
      <xdr:nvSpPr>
        <xdr:cNvPr id="4"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ysClr val="windowText" lastClr="000000"/>
              </a:solidFill>
              <a:latin typeface="+mn-lt"/>
              <a:ea typeface="+mn-ea"/>
              <a:cs typeface="+mn-cs"/>
            </a:rPr>
            <a:t>Manage Update Frequency of Live Data Fields in Excel</a:t>
          </a:r>
          <a:endParaRPr lang="en-US" sz="1800" b="1" i="0" u="none" strike="noStrike" baseline="0">
            <a:solidFill>
              <a:srgbClr val="000000"/>
            </a:solidFill>
            <a:latin typeface="+mn-lt"/>
            <a:cs typeface="Angsana New" pitchFamily="18" charset="-34"/>
          </a:endParaRPr>
        </a:p>
      </xdr:txBody>
    </xdr:sp>
    <xdr:clientData/>
  </xdr:twoCellAnchor>
  <xdr:twoCellAnchor>
    <xdr:from>
      <xdr:col>5</xdr:col>
      <xdr:colOff>228600</xdr:colOff>
      <xdr:row>17</xdr:row>
      <xdr:rowOff>19050</xdr:rowOff>
    </xdr:from>
    <xdr:to>
      <xdr:col>5</xdr:col>
      <xdr:colOff>228600</xdr:colOff>
      <xdr:row>18</xdr:row>
      <xdr:rowOff>152400</xdr:rowOff>
    </xdr:to>
    <xdr:sp macro="" textlink="">
      <xdr:nvSpPr>
        <xdr:cNvPr id="4428222" name="Line 3"/>
        <xdr:cNvSpPr>
          <a:spLocks noChangeShapeType="1"/>
        </xdr:cNvSpPr>
      </xdr:nvSpPr>
      <xdr:spPr bwMode="auto">
        <a:xfrm flipV="1">
          <a:off x="4991100" y="3390900"/>
          <a:ext cx="0" cy="323850"/>
        </a:xfrm>
        <a:prstGeom prst="line">
          <a:avLst/>
        </a:prstGeom>
        <a:noFill/>
        <a:ln w="9525">
          <a:solidFill>
            <a:srgbClr val="558ED5"/>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38100</xdr:colOff>
      <xdr:row>27</xdr:row>
      <xdr:rowOff>76200</xdr:rowOff>
    </xdr:from>
    <xdr:to>
      <xdr:col>7</xdr:col>
      <xdr:colOff>466725</xdr:colOff>
      <xdr:row>34</xdr:row>
      <xdr:rowOff>66675</xdr:rowOff>
    </xdr:to>
    <xdr:grpSp>
      <xdr:nvGrpSpPr>
        <xdr:cNvPr id="4428223" name="Group 7"/>
        <xdr:cNvGrpSpPr>
          <a:grpSpLocks/>
        </xdr:cNvGrpSpPr>
      </xdr:nvGrpSpPr>
      <xdr:grpSpPr bwMode="auto">
        <a:xfrm>
          <a:off x="3678767" y="5357283"/>
          <a:ext cx="2926291" cy="1323975"/>
          <a:chOff x="3657600" y="5153024"/>
          <a:chExt cx="2907677" cy="1323975"/>
        </a:xfrm>
      </xdr:grpSpPr>
      <xdr:pic>
        <xdr:nvPicPr>
          <xdr:cNvPr id="2205186" name="Picture 4"/>
          <xdr:cNvPicPr>
            <a:picLocks noChangeAspect="1"/>
          </xdr:cNvPicPr>
        </xdr:nvPicPr>
        <xdr:blipFill>
          <a:blip xmlns:r="http://schemas.openxmlformats.org/officeDocument/2006/relationships" r:embed="rId1"/>
          <a:srcRect/>
          <a:stretch>
            <a:fillRect/>
          </a:stretch>
        </xdr:blipFill>
        <xdr:spPr bwMode="auto">
          <a:xfrm>
            <a:off x="3657600" y="5153024"/>
            <a:ext cx="2907677" cy="1323975"/>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6" name="Rectangle 5"/>
          <xdr:cNvSpPr/>
        </xdr:nvSpPr>
        <xdr:spPr>
          <a:xfrm>
            <a:off x="4093278" y="6067424"/>
            <a:ext cx="2471999" cy="2952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15.xml><?xml version="1.0" encoding="utf-8"?>
<xdr:wsDr xmlns:xdr="http://schemas.openxmlformats.org/drawingml/2006/spreadsheetDrawing" xmlns:a="http://schemas.openxmlformats.org/drawingml/2006/main">
  <xdr:twoCellAnchor>
    <xdr:from>
      <xdr:col>4</xdr:col>
      <xdr:colOff>188598</xdr:colOff>
      <xdr:row>41</xdr:row>
      <xdr:rowOff>57344</xdr:rowOff>
    </xdr:from>
    <xdr:to>
      <xdr:col>5</xdr:col>
      <xdr:colOff>1197478</xdr:colOff>
      <xdr:row>42</xdr:row>
      <xdr:rowOff>124019</xdr:rowOff>
    </xdr:to>
    <xdr:sp macro="" textlink="">
      <xdr:nvSpPr>
        <xdr:cNvPr id="11" name="TextBox 10"/>
        <xdr:cNvSpPr txBox="1"/>
      </xdr:nvSpPr>
      <xdr:spPr>
        <a:xfrm>
          <a:off x="4183266" y="9650380"/>
          <a:ext cx="1980812" cy="2610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i="0"/>
            <a:t>Enter your start and date</a:t>
          </a:r>
          <a:r>
            <a:rPr lang="en-GB" sz="1100" i="0" baseline="0"/>
            <a:t> </a:t>
          </a:r>
          <a:r>
            <a:rPr lang="en-GB" sz="1100" i="0"/>
            <a:t>here</a:t>
          </a:r>
        </a:p>
      </xdr:txBody>
    </xdr:sp>
    <xdr:clientData/>
  </xdr:twoCellAnchor>
  <xdr:twoCellAnchor>
    <xdr:from>
      <xdr:col>0</xdr:col>
      <xdr:colOff>0</xdr:colOff>
      <xdr:row>0</xdr:row>
      <xdr:rowOff>0</xdr:rowOff>
    </xdr:from>
    <xdr:to>
      <xdr:col>20</xdr:col>
      <xdr:colOff>495167</xdr:colOff>
      <xdr:row>1</xdr:row>
      <xdr:rowOff>137750</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Automatic Interval Calculations</a:t>
          </a:r>
          <a:endParaRPr lang="en-US" sz="1800" b="1" i="0" u="none" strike="noStrike" baseline="0">
            <a:solidFill>
              <a:srgbClr val="000000"/>
            </a:solidFill>
            <a:latin typeface="+mn-lt"/>
            <a:cs typeface="Angsana New" pitchFamily="18" charset="-34"/>
          </a:endParaRPr>
        </a:p>
      </xdr:txBody>
    </xdr:sp>
    <xdr:clientData/>
  </xdr:twoCellAnchor>
  <xdr:twoCellAnchor>
    <xdr:from>
      <xdr:col>4</xdr:col>
      <xdr:colOff>0</xdr:colOff>
      <xdr:row>41</xdr:row>
      <xdr:rowOff>95250</xdr:rowOff>
    </xdr:from>
    <xdr:to>
      <xdr:col>4</xdr:col>
      <xdr:colOff>247650</xdr:colOff>
      <xdr:row>42</xdr:row>
      <xdr:rowOff>95250</xdr:rowOff>
    </xdr:to>
    <xdr:grpSp>
      <xdr:nvGrpSpPr>
        <xdr:cNvPr id="4429781" name="Group 139553"/>
        <xdr:cNvGrpSpPr>
          <a:grpSpLocks/>
        </xdr:cNvGrpSpPr>
      </xdr:nvGrpSpPr>
      <xdr:grpSpPr bwMode="auto">
        <a:xfrm>
          <a:off x="3989917" y="8085667"/>
          <a:ext cx="247650" cy="190500"/>
          <a:chOff x="3975230" y="9692096"/>
          <a:chExt cx="247650" cy="186767"/>
        </a:xfrm>
      </xdr:grpSpPr>
      <xdr:cxnSp macro="">
        <xdr:nvCxnSpPr>
          <xdr:cNvPr id="31" name="Straight Connector 30"/>
          <xdr:cNvCxnSpPr/>
        </xdr:nvCxnSpPr>
        <xdr:spPr>
          <a:xfrm>
            <a:off x="3975230" y="9692096"/>
            <a:ext cx="247650" cy="102722"/>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3" name="Straight Connector 32"/>
          <xdr:cNvCxnSpPr/>
        </xdr:nvCxnSpPr>
        <xdr:spPr>
          <a:xfrm flipV="1">
            <a:off x="3975230" y="9794818"/>
            <a:ext cx="247650" cy="84045"/>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19050</xdr:colOff>
      <xdr:row>17</xdr:row>
      <xdr:rowOff>38100</xdr:rowOff>
    </xdr:from>
    <xdr:to>
      <xdr:col>7</xdr:col>
      <xdr:colOff>990600</xdr:colOff>
      <xdr:row>36</xdr:row>
      <xdr:rowOff>66675</xdr:rowOff>
    </xdr:to>
    <xdr:grpSp>
      <xdr:nvGrpSpPr>
        <xdr:cNvPr id="4429782" name="Group 12"/>
        <xdr:cNvGrpSpPr>
          <a:grpSpLocks/>
        </xdr:cNvGrpSpPr>
      </xdr:nvGrpSpPr>
      <xdr:grpSpPr bwMode="auto">
        <a:xfrm>
          <a:off x="262467" y="3382433"/>
          <a:ext cx="8072966" cy="3648075"/>
          <a:chOff x="7324724" y="5057775"/>
          <a:chExt cx="8914287" cy="4904762"/>
        </a:xfrm>
      </xdr:grpSpPr>
      <xdr:grpSp>
        <xdr:nvGrpSpPr>
          <xdr:cNvPr id="4429783" name="Group 11"/>
          <xdr:cNvGrpSpPr>
            <a:grpSpLocks/>
          </xdr:cNvGrpSpPr>
        </xdr:nvGrpSpPr>
        <xdr:grpSpPr bwMode="auto">
          <a:xfrm>
            <a:off x="7324724" y="5057775"/>
            <a:ext cx="8914287" cy="4904762"/>
            <a:chOff x="7324724" y="5057775"/>
            <a:chExt cx="8914287" cy="4904762"/>
          </a:xfrm>
        </xdr:grpSpPr>
        <xdr:pic>
          <xdr:nvPicPr>
            <xdr:cNvPr id="2234436" name="Picture 7"/>
            <xdr:cNvPicPr>
              <a:picLocks noChangeAspect="1"/>
            </xdr:cNvPicPr>
          </xdr:nvPicPr>
          <xdr:blipFill>
            <a:blip xmlns:r="http://schemas.openxmlformats.org/officeDocument/2006/relationships" r:embed="rId1"/>
            <a:srcRect/>
            <a:stretch>
              <a:fillRect/>
            </a:stretch>
          </xdr:blipFill>
          <xdr:spPr bwMode="auto">
            <a:xfrm>
              <a:off x="7324724" y="5057775"/>
              <a:ext cx="8914287" cy="4904762"/>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6" name="Rectangle 25"/>
            <xdr:cNvSpPr/>
          </xdr:nvSpPr>
          <xdr:spPr>
            <a:xfrm>
              <a:off x="8598194" y="6056656"/>
              <a:ext cx="2462743" cy="331679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27" name="Rectangle 26"/>
            <xdr:cNvSpPr/>
          </xdr:nvSpPr>
          <xdr:spPr>
            <a:xfrm>
              <a:off x="7324724" y="5454766"/>
              <a:ext cx="2220678" cy="396991"/>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29" name="Rectangle 28"/>
          <xdr:cNvSpPr/>
        </xdr:nvSpPr>
        <xdr:spPr>
          <a:xfrm>
            <a:off x="14291971" y="5454766"/>
            <a:ext cx="726193" cy="192093"/>
          </a:xfrm>
          <a:prstGeom prst="rect">
            <a:avLst/>
          </a:prstGeom>
          <a:noFill/>
          <a:ln w="19050">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399917</xdr:colOff>
      <xdr:row>1</xdr:row>
      <xdr:rowOff>137750</xdr:rowOff>
    </xdr:to>
    <xdr:sp macro="" textlink="">
      <xdr:nvSpPr>
        <xdr:cNvPr id="4"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baseline="0">
              <a:latin typeface="+mn-lt"/>
              <a:ea typeface="+mn-ea"/>
              <a:cs typeface="+mn-cs"/>
            </a:rPr>
            <a:t>ABS, CMBS, RMBS Collateral, Cashflows and much more</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1</xdr:col>
      <xdr:colOff>38100</xdr:colOff>
      <xdr:row>19</xdr:row>
      <xdr:rowOff>38100</xdr:rowOff>
    </xdr:from>
    <xdr:to>
      <xdr:col>5</xdr:col>
      <xdr:colOff>1066800</xdr:colOff>
      <xdr:row>37</xdr:row>
      <xdr:rowOff>0</xdr:rowOff>
    </xdr:to>
    <xdr:pic>
      <xdr:nvPicPr>
        <xdr:cNvPr id="2095346" name="Picture 8"/>
        <xdr:cNvPicPr>
          <a:picLocks noChangeAspect="1"/>
        </xdr:cNvPicPr>
      </xdr:nvPicPr>
      <xdr:blipFill>
        <a:blip xmlns:r="http://schemas.openxmlformats.org/officeDocument/2006/relationships" r:embed="rId1"/>
        <a:srcRect/>
        <a:stretch>
          <a:fillRect/>
        </a:stretch>
      </xdr:blipFill>
      <xdr:spPr bwMode="auto">
        <a:xfrm>
          <a:off x="266700" y="3914775"/>
          <a:ext cx="5667375" cy="3390900"/>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61</xdr:row>
      <xdr:rowOff>57150</xdr:rowOff>
    </xdr:from>
    <xdr:to>
      <xdr:col>1</xdr:col>
      <xdr:colOff>685800</xdr:colOff>
      <xdr:row>62</xdr:row>
      <xdr:rowOff>152400</xdr:rowOff>
    </xdr:to>
    <xdr:cxnSp macro="">
      <xdr:nvCxnSpPr>
        <xdr:cNvPr id="12" name="Straight Arrow Connector 11"/>
        <xdr:cNvCxnSpPr/>
      </xdr:nvCxnSpPr>
      <xdr:spPr>
        <a:xfrm flipV="1">
          <a:off x="933450" y="12153900"/>
          <a:ext cx="0" cy="295275"/>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685800</xdr:colOff>
      <xdr:row>61</xdr:row>
      <xdr:rowOff>57150</xdr:rowOff>
    </xdr:from>
    <xdr:to>
      <xdr:col>5</xdr:col>
      <xdr:colOff>685800</xdr:colOff>
      <xdr:row>62</xdr:row>
      <xdr:rowOff>152400</xdr:rowOff>
    </xdr:to>
    <xdr:cxnSp macro="">
      <xdr:nvCxnSpPr>
        <xdr:cNvPr id="13" name="Straight Arrow Connector 12"/>
        <xdr:cNvCxnSpPr/>
      </xdr:nvCxnSpPr>
      <xdr:spPr>
        <a:xfrm flipV="1">
          <a:off x="5572125" y="12153900"/>
          <a:ext cx="0" cy="295275"/>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1352550</xdr:colOff>
      <xdr:row>19</xdr:row>
      <xdr:rowOff>19050</xdr:rowOff>
    </xdr:from>
    <xdr:to>
      <xdr:col>11</xdr:col>
      <xdr:colOff>485775</xdr:colOff>
      <xdr:row>40</xdr:row>
      <xdr:rowOff>161925</xdr:rowOff>
    </xdr:to>
    <xdr:grpSp>
      <xdr:nvGrpSpPr>
        <xdr:cNvPr id="4749716" name="Group 6"/>
        <xdr:cNvGrpSpPr>
          <a:grpSpLocks/>
        </xdr:cNvGrpSpPr>
      </xdr:nvGrpSpPr>
      <xdr:grpSpPr bwMode="auto">
        <a:xfrm>
          <a:off x="6242050" y="3892550"/>
          <a:ext cx="5980642" cy="4217458"/>
          <a:chOff x="6350005" y="3944406"/>
          <a:chExt cx="5982553" cy="4220634"/>
        </a:xfrm>
      </xdr:grpSpPr>
      <xdr:pic>
        <xdr:nvPicPr>
          <xdr:cNvPr id="2095353" name="Picture 9"/>
          <xdr:cNvPicPr>
            <a:picLocks noChangeAspect="1"/>
          </xdr:cNvPicPr>
        </xdr:nvPicPr>
        <xdr:blipFill>
          <a:blip xmlns:r="http://schemas.openxmlformats.org/officeDocument/2006/relationships" r:embed="rId2"/>
          <a:srcRect/>
          <a:stretch>
            <a:fillRect/>
          </a:stretch>
        </xdr:blipFill>
        <xdr:spPr bwMode="auto">
          <a:xfrm>
            <a:off x="6350005" y="4763762"/>
            <a:ext cx="5658140" cy="3401278"/>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pic>
        <xdr:nvPicPr>
          <xdr:cNvPr id="2095354" name="Picture 1"/>
          <xdr:cNvPicPr>
            <a:picLocks noChangeAspect="1"/>
          </xdr:cNvPicPr>
        </xdr:nvPicPr>
        <xdr:blipFill>
          <a:blip xmlns:r="http://schemas.openxmlformats.org/officeDocument/2006/relationships" r:embed="rId3"/>
          <a:srcRect/>
          <a:stretch>
            <a:fillRect/>
          </a:stretch>
        </xdr:blipFill>
        <xdr:spPr bwMode="auto">
          <a:xfrm>
            <a:off x="11130322" y="3944406"/>
            <a:ext cx="1202236" cy="733609"/>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xnSp macro="">
        <xdr:nvCxnSpPr>
          <xdr:cNvPr id="17" name="Straight Arrow Connector 16"/>
          <xdr:cNvCxnSpPr/>
        </xdr:nvCxnSpPr>
        <xdr:spPr bwMode="auto">
          <a:xfrm flipV="1">
            <a:off x="11740982" y="4678015"/>
            <a:ext cx="0" cy="504952"/>
          </a:xfrm>
          <a:prstGeom prst="straightConnector1">
            <a:avLst/>
          </a:prstGeom>
          <a:ln w="15875">
            <a:solidFill>
              <a:srgbClr val="00B0F0"/>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18" name="Straight Arrow Connector 17"/>
          <xdr:cNvCxnSpPr/>
        </xdr:nvCxnSpPr>
        <xdr:spPr bwMode="auto">
          <a:xfrm flipH="1" flipV="1">
            <a:off x="10443331" y="4687542"/>
            <a:ext cx="0" cy="847938"/>
          </a:xfrm>
          <a:prstGeom prst="straightConnector1">
            <a:avLst/>
          </a:prstGeom>
          <a:ln w="15875">
            <a:solidFill>
              <a:srgbClr val="00B0F0"/>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685800</xdr:colOff>
      <xdr:row>22</xdr:row>
      <xdr:rowOff>142875</xdr:rowOff>
    </xdr:from>
    <xdr:to>
      <xdr:col>2</xdr:col>
      <xdr:colOff>895350</xdr:colOff>
      <xdr:row>35</xdr:row>
      <xdr:rowOff>104775</xdr:rowOff>
    </xdr:to>
    <xdr:sp macro="" textlink="">
      <xdr:nvSpPr>
        <xdr:cNvPr id="2" name="Rectangle 1"/>
        <xdr:cNvSpPr/>
      </xdr:nvSpPr>
      <xdr:spPr>
        <a:xfrm>
          <a:off x="914400" y="4591050"/>
          <a:ext cx="1485900" cy="2438400"/>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xdr:col>
      <xdr:colOff>9525</xdr:colOff>
      <xdr:row>66</xdr:row>
      <xdr:rowOff>76200</xdr:rowOff>
    </xdr:from>
    <xdr:to>
      <xdr:col>4</xdr:col>
      <xdr:colOff>104775</xdr:colOff>
      <xdr:row>70</xdr:row>
      <xdr:rowOff>95250</xdr:rowOff>
    </xdr:to>
    <xdr:grpSp>
      <xdr:nvGrpSpPr>
        <xdr:cNvPr id="4749718" name="Group 2"/>
        <xdr:cNvGrpSpPr>
          <a:grpSpLocks/>
        </xdr:cNvGrpSpPr>
      </xdr:nvGrpSpPr>
      <xdr:grpSpPr bwMode="auto">
        <a:xfrm>
          <a:off x="252942" y="13125450"/>
          <a:ext cx="3598333" cy="950383"/>
          <a:chOff x="243417" y="13096875"/>
          <a:chExt cx="3598333" cy="990744"/>
        </a:xfrm>
      </xdr:grpSpPr>
      <xdr:pic>
        <xdr:nvPicPr>
          <xdr:cNvPr id="5" name="Picture 4"/>
          <xdr:cNvPicPr>
            <a:picLocks noChangeAspect="1"/>
          </xdr:cNvPicPr>
        </xdr:nvPicPr>
        <xdr:blipFill>
          <a:blip xmlns:r="http://schemas.openxmlformats.org/officeDocument/2006/relationships" r:embed="rId4"/>
          <a:stretch>
            <a:fillRect/>
          </a:stretch>
        </xdr:blipFill>
        <xdr:spPr>
          <a:xfrm>
            <a:off x="243417" y="13096875"/>
            <a:ext cx="3598333" cy="990744"/>
          </a:xfrm>
          <a:prstGeom prst="rect">
            <a:avLst/>
          </a:prstGeom>
          <a:ln>
            <a:noFill/>
          </a:ln>
          <a:effectLst>
            <a:outerShdw blurRad="50800" dist="38100" dir="2700000" algn="tl" rotWithShape="0">
              <a:prstClr val="black">
                <a:alpha val="40000"/>
              </a:prstClr>
            </a:outerShdw>
          </a:effectLst>
        </xdr:spPr>
      </xdr:pic>
      <xdr:sp macro="" textlink="">
        <xdr:nvSpPr>
          <xdr:cNvPr id="6" name="Rectangle 5"/>
          <xdr:cNvSpPr/>
        </xdr:nvSpPr>
        <xdr:spPr>
          <a:xfrm>
            <a:off x="854275" y="13299068"/>
            <a:ext cx="629947" cy="69756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editAs="oneCell">
    <xdr:from>
      <xdr:col>11</xdr:col>
      <xdr:colOff>63495</xdr:colOff>
      <xdr:row>44</xdr:row>
      <xdr:rowOff>0</xdr:rowOff>
    </xdr:from>
    <xdr:to>
      <xdr:col>21</xdr:col>
      <xdr:colOff>88895</xdr:colOff>
      <xdr:row>67</xdr:row>
      <xdr:rowOff>129117</xdr:rowOff>
    </xdr:to>
    <xdr:pic>
      <xdr:nvPicPr>
        <xdr:cNvPr id="19" name="Picture 3"/>
        <xdr:cNvPicPr>
          <a:picLocks noChangeAspect="1"/>
        </xdr:cNvPicPr>
      </xdr:nvPicPr>
      <xdr:blipFill>
        <a:blip xmlns:r="http://schemas.openxmlformats.org/officeDocument/2006/relationships" r:embed="rId5"/>
        <a:srcRect/>
        <a:stretch>
          <a:fillRect/>
        </a:stretch>
      </xdr:blipFill>
      <xdr:spPr bwMode="auto">
        <a:xfrm>
          <a:off x="11800412" y="8858250"/>
          <a:ext cx="6502400" cy="4552950"/>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11</xdr:col>
      <xdr:colOff>58209</xdr:colOff>
      <xdr:row>69</xdr:row>
      <xdr:rowOff>31749</xdr:rowOff>
    </xdr:from>
    <xdr:to>
      <xdr:col>21</xdr:col>
      <xdr:colOff>71967</xdr:colOff>
      <xdr:row>92</xdr:row>
      <xdr:rowOff>57149</xdr:rowOff>
    </xdr:to>
    <xdr:pic>
      <xdr:nvPicPr>
        <xdr:cNvPr id="20" name="Picture 1"/>
        <xdr:cNvPicPr>
          <a:picLocks noChangeAspect="1"/>
        </xdr:cNvPicPr>
      </xdr:nvPicPr>
      <xdr:blipFill>
        <a:blip xmlns:r="http://schemas.openxmlformats.org/officeDocument/2006/relationships" r:embed="rId6"/>
        <a:srcRect/>
        <a:stretch>
          <a:fillRect/>
        </a:stretch>
      </xdr:blipFill>
      <xdr:spPr bwMode="auto">
        <a:xfrm>
          <a:off x="11795126" y="13779499"/>
          <a:ext cx="6490758" cy="4533900"/>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10584</xdr:colOff>
      <xdr:row>94</xdr:row>
      <xdr:rowOff>21165</xdr:rowOff>
    </xdr:from>
    <xdr:to>
      <xdr:col>22</xdr:col>
      <xdr:colOff>246592</xdr:colOff>
      <xdr:row>113</xdr:row>
      <xdr:rowOff>170492</xdr:rowOff>
    </xdr:to>
    <xdr:pic>
      <xdr:nvPicPr>
        <xdr:cNvPr id="21" name="Picture 1"/>
        <xdr:cNvPicPr>
          <a:picLocks noChangeAspect="1"/>
        </xdr:cNvPicPr>
      </xdr:nvPicPr>
      <xdr:blipFill>
        <a:blip xmlns:r="http://schemas.openxmlformats.org/officeDocument/2006/relationships" r:embed="rId7"/>
        <a:srcRect/>
        <a:stretch>
          <a:fillRect/>
        </a:stretch>
      </xdr:blipFill>
      <xdr:spPr bwMode="auto">
        <a:xfrm>
          <a:off x="12583584" y="18668998"/>
          <a:ext cx="6490758" cy="3768827"/>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57150</xdr:colOff>
      <xdr:row>14</xdr:row>
      <xdr:rowOff>0</xdr:rowOff>
    </xdr:from>
    <xdr:to>
      <xdr:col>18</xdr:col>
      <xdr:colOff>19050</xdr:colOff>
      <xdr:row>61</xdr:row>
      <xdr:rowOff>104775</xdr:rowOff>
    </xdr:to>
    <xdr:grpSp>
      <xdr:nvGrpSpPr>
        <xdr:cNvPr id="4785906" name="Group 25"/>
        <xdr:cNvGrpSpPr>
          <a:grpSpLocks/>
        </xdr:cNvGrpSpPr>
      </xdr:nvGrpSpPr>
      <xdr:grpSpPr bwMode="auto">
        <a:xfrm>
          <a:off x="300567" y="2952750"/>
          <a:ext cx="12651316" cy="8359775"/>
          <a:chOff x="238125" y="2781300"/>
          <a:chExt cx="12715876" cy="8429324"/>
        </a:xfrm>
      </xdr:grpSpPr>
      <xdr:grpSp>
        <xdr:nvGrpSpPr>
          <xdr:cNvPr id="4785916" name="Group 24"/>
          <xdr:cNvGrpSpPr>
            <a:grpSpLocks/>
          </xdr:cNvGrpSpPr>
        </xdr:nvGrpSpPr>
        <xdr:grpSpPr bwMode="auto">
          <a:xfrm>
            <a:off x="238125" y="3095614"/>
            <a:ext cx="12715876" cy="8115010"/>
            <a:chOff x="238125" y="3095614"/>
            <a:chExt cx="12715876" cy="8115010"/>
          </a:xfrm>
        </xdr:grpSpPr>
        <xdr:pic>
          <xdr:nvPicPr>
            <xdr:cNvPr id="2312170" name="Picture 11"/>
            <xdr:cNvPicPr>
              <a:picLocks noChangeAspect="1"/>
            </xdr:cNvPicPr>
          </xdr:nvPicPr>
          <xdr:blipFill>
            <a:blip xmlns:r="http://schemas.openxmlformats.org/officeDocument/2006/relationships" r:embed="rId1"/>
            <a:srcRect/>
            <a:stretch>
              <a:fillRect/>
            </a:stretch>
          </xdr:blipFill>
          <xdr:spPr bwMode="auto">
            <a:xfrm>
              <a:off x="238125" y="3095614"/>
              <a:ext cx="5969850" cy="384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pic>
          <xdr:nvPicPr>
            <xdr:cNvPr id="2329603" name="Picture 1"/>
            <xdr:cNvPicPr preferRelativeResize="0">
              <a:picLocks/>
            </xdr:cNvPicPr>
          </xdr:nvPicPr>
          <xdr:blipFill>
            <a:blip xmlns:r="http://schemas.openxmlformats.org/officeDocument/2006/relationships" r:embed="rId2"/>
            <a:srcRect/>
            <a:stretch>
              <a:fillRect/>
            </a:stretch>
          </xdr:blipFill>
          <xdr:spPr bwMode="auto">
            <a:xfrm>
              <a:off x="6514612" y="3095614"/>
              <a:ext cx="6429806" cy="384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grpSp>
          <xdr:nvGrpSpPr>
            <xdr:cNvPr id="4785933" name="Group 2217532"/>
            <xdr:cNvGrpSpPr>
              <a:grpSpLocks/>
            </xdr:cNvGrpSpPr>
          </xdr:nvGrpSpPr>
          <xdr:grpSpPr bwMode="auto">
            <a:xfrm>
              <a:off x="6524626" y="7286624"/>
              <a:ext cx="6429375" cy="3924000"/>
              <a:chOff x="12882928" y="6973034"/>
              <a:chExt cx="6423515" cy="3870813"/>
            </a:xfrm>
          </xdr:grpSpPr>
          <xdr:grpSp>
            <xdr:nvGrpSpPr>
              <xdr:cNvPr id="4785945" name="Group 2217531"/>
              <xdr:cNvGrpSpPr>
                <a:grpSpLocks/>
              </xdr:cNvGrpSpPr>
            </xdr:nvGrpSpPr>
            <xdr:grpSpPr bwMode="auto">
              <a:xfrm>
                <a:off x="12882928" y="6973034"/>
                <a:ext cx="6423515" cy="3870813"/>
                <a:chOff x="12882928" y="6973034"/>
                <a:chExt cx="6423515" cy="3870813"/>
              </a:xfrm>
            </xdr:grpSpPr>
            <xdr:pic>
              <xdr:nvPicPr>
                <xdr:cNvPr id="2329601" name="Picture 2217530"/>
                <xdr:cNvPicPr>
                  <a:picLocks noChangeAspect="1"/>
                </xdr:cNvPicPr>
              </xdr:nvPicPr>
              <xdr:blipFill>
                <a:blip xmlns:r="http://schemas.openxmlformats.org/officeDocument/2006/relationships" r:embed="rId3"/>
                <a:srcRect/>
                <a:stretch>
                  <a:fillRect/>
                </a:stretch>
              </xdr:blipFill>
              <xdr:spPr bwMode="auto">
                <a:xfrm>
                  <a:off x="12882497" y="6972876"/>
                  <a:ext cx="6423946" cy="38709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sp macro="" textlink="">
              <xdr:nvSpPr>
                <xdr:cNvPr id="135" name="TextBox 134"/>
                <xdr:cNvSpPr txBox="1"/>
              </xdr:nvSpPr>
              <xdr:spPr>
                <a:xfrm>
                  <a:off x="13811145" y="9143251"/>
                  <a:ext cx="2211522" cy="488569"/>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1100" b="0" i="0">
                      <a:solidFill>
                        <a:srgbClr val="00CCFF"/>
                      </a:solidFill>
                    </a:rPr>
                    <a:t>If yield kept constant for bond</a:t>
                  </a:r>
                  <a:br>
                    <a:rPr lang="en-GB" sz="1100" b="0" i="0">
                      <a:solidFill>
                        <a:srgbClr val="00CCFF"/>
                      </a:solidFill>
                    </a:rPr>
                  </a:br>
                  <a:r>
                    <a:rPr lang="en-GB" sz="1100" b="0" i="0">
                      <a:solidFill>
                        <a:srgbClr val="00CCFF"/>
                      </a:solidFill>
                    </a:rPr>
                    <a:t>for period = total return of 3.20%</a:t>
                  </a:r>
                </a:p>
              </xdr:txBody>
            </xdr:sp>
          </xdr:grpSp>
          <xdr:sp macro="" textlink="">
            <xdr:nvSpPr>
              <xdr:cNvPr id="137" name="Rectangle 136"/>
              <xdr:cNvSpPr/>
            </xdr:nvSpPr>
            <xdr:spPr>
              <a:xfrm>
                <a:off x="16003520" y="7686939"/>
                <a:ext cx="545700" cy="169120"/>
              </a:xfrm>
              <a:prstGeom prst="rect">
                <a:avLst/>
              </a:prstGeom>
              <a:noFill/>
              <a:ln w="19050">
                <a:solidFill>
                  <a:srgbClr val="00CCFF"/>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138" name="Rectangle 137"/>
              <xdr:cNvSpPr/>
            </xdr:nvSpPr>
            <xdr:spPr>
              <a:xfrm>
                <a:off x="17688489" y="7686939"/>
                <a:ext cx="555274" cy="169120"/>
              </a:xfrm>
              <a:prstGeom prst="rect">
                <a:avLst/>
              </a:prstGeom>
              <a:noFill/>
              <a:ln w="19050">
                <a:solidFill>
                  <a:srgbClr val="00CCFF"/>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139" name="Rectangle 138"/>
              <xdr:cNvSpPr/>
            </xdr:nvSpPr>
            <xdr:spPr>
              <a:xfrm>
                <a:off x="14213240" y="8833197"/>
                <a:ext cx="775469" cy="281867"/>
              </a:xfrm>
              <a:prstGeom prst="rect">
                <a:avLst/>
              </a:prstGeom>
              <a:noFill/>
              <a:ln w="19050">
                <a:solidFill>
                  <a:srgbClr val="00CC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nvGrpSpPr>
            <xdr:cNvPr id="4785934" name="Group 3"/>
            <xdr:cNvGrpSpPr>
              <a:grpSpLocks/>
            </xdr:cNvGrpSpPr>
          </xdr:nvGrpSpPr>
          <xdr:grpSpPr bwMode="auto">
            <a:xfrm>
              <a:off x="238125" y="7273925"/>
              <a:ext cx="5972175" cy="3924300"/>
              <a:chOff x="238125" y="7292975"/>
              <a:chExt cx="5972175" cy="3924300"/>
            </a:xfrm>
          </xdr:grpSpPr>
          <xdr:grpSp>
            <xdr:nvGrpSpPr>
              <xdr:cNvPr id="4785935" name="Group 2"/>
              <xdr:cNvGrpSpPr>
                <a:grpSpLocks/>
              </xdr:cNvGrpSpPr>
            </xdr:nvGrpSpPr>
            <xdr:grpSpPr bwMode="auto">
              <a:xfrm>
                <a:off x="238125" y="7292975"/>
                <a:ext cx="5972175" cy="3924300"/>
                <a:chOff x="239563" y="7316458"/>
                <a:chExt cx="5970557" cy="3921245"/>
              </a:xfrm>
            </xdr:grpSpPr>
            <xdr:grpSp>
              <xdr:nvGrpSpPr>
                <xdr:cNvPr id="4785937" name="Group 74"/>
                <xdr:cNvGrpSpPr>
                  <a:grpSpLocks/>
                </xdr:cNvGrpSpPr>
              </xdr:nvGrpSpPr>
              <xdr:grpSpPr bwMode="auto">
                <a:xfrm>
                  <a:off x="239563" y="7316458"/>
                  <a:ext cx="5970557" cy="3921245"/>
                  <a:chOff x="6426253" y="9333260"/>
                  <a:chExt cx="8901552" cy="5263444"/>
                </a:xfrm>
              </xdr:grpSpPr>
              <xdr:grpSp>
                <xdr:nvGrpSpPr>
                  <xdr:cNvPr id="4785939" name="Group 51"/>
                  <xdr:cNvGrpSpPr>
                    <a:grpSpLocks/>
                  </xdr:cNvGrpSpPr>
                </xdr:nvGrpSpPr>
                <xdr:grpSpPr bwMode="auto">
                  <a:xfrm>
                    <a:off x="6426253" y="9333260"/>
                    <a:ext cx="8901552" cy="5263444"/>
                    <a:chOff x="11825288" y="7390209"/>
                    <a:chExt cx="5564757" cy="3174760"/>
                  </a:xfrm>
                </xdr:grpSpPr>
                <xdr:pic>
                  <xdr:nvPicPr>
                    <xdr:cNvPr id="2329610" name="Picture 50"/>
                    <xdr:cNvPicPr>
                      <a:picLocks noChangeAspect="1"/>
                    </xdr:cNvPicPr>
                  </xdr:nvPicPr>
                  <xdr:blipFill>
                    <a:blip xmlns:r="http://schemas.openxmlformats.org/officeDocument/2006/relationships" r:embed="rId4"/>
                    <a:srcRect/>
                    <a:stretch>
                      <a:fillRect/>
                    </a:stretch>
                  </xdr:blipFill>
                  <xdr:spPr bwMode="auto">
                    <a:xfrm>
                      <a:off x="11825288" y="7392648"/>
                      <a:ext cx="5562591" cy="3174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sp macro="" textlink="">
                  <xdr:nvSpPr>
                    <xdr:cNvPr id="57" name="Rectangle 56"/>
                    <xdr:cNvSpPr/>
                  </xdr:nvSpPr>
                  <xdr:spPr>
                    <a:xfrm>
                      <a:off x="16048571" y="7754804"/>
                      <a:ext cx="482151" cy="123287"/>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60" name="Rectangle 59"/>
                    <xdr:cNvSpPr/>
                  </xdr:nvSpPr>
                  <xdr:spPr>
                    <a:xfrm>
                      <a:off x="13477101" y="7993673"/>
                      <a:ext cx="455365" cy="115582"/>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62" name="Rectangle 61"/>
                    <xdr:cNvSpPr/>
                  </xdr:nvSpPr>
                  <xdr:spPr>
                    <a:xfrm>
                      <a:off x="14173541" y="8910622"/>
                      <a:ext cx="517866" cy="238869"/>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81" name="Rectangle 80"/>
                  <xdr:cNvSpPr/>
                </xdr:nvSpPr>
                <xdr:spPr>
                  <a:xfrm>
                    <a:off x="9925501" y="10333745"/>
                    <a:ext cx="842676" cy="204398"/>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pic>
              <xdr:nvPicPr>
                <xdr:cNvPr id="4785938" name="Picture 1"/>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89209" y="8052554"/>
                  <a:ext cx="494779" cy="144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159" name="Rectangle 158"/>
              <xdr:cNvSpPr/>
            </xdr:nvSpPr>
            <xdr:spPr bwMode="auto">
              <a:xfrm>
                <a:off x="4166919" y="8029389"/>
                <a:ext cx="536616" cy="152395"/>
              </a:xfrm>
              <a:prstGeom prst="rect">
                <a:avLst/>
              </a:prstGeom>
              <a:noFill/>
              <a:ln w="19050">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cxnSp macro="">
        <xdr:nvCxnSpPr>
          <xdr:cNvPr id="122" name="Straight Connector 121"/>
          <xdr:cNvCxnSpPr/>
        </xdr:nvCxnSpPr>
        <xdr:spPr>
          <a:xfrm>
            <a:off x="2116280" y="4105228"/>
            <a:ext cx="728264" cy="3914635"/>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17" name="Straight Connector 116"/>
          <xdr:cNvCxnSpPr>
            <a:endCxn id="159" idx="0"/>
          </xdr:cNvCxnSpPr>
        </xdr:nvCxnSpPr>
        <xdr:spPr>
          <a:xfrm>
            <a:off x="2547489" y="4914824"/>
            <a:ext cx="1887737" cy="3095514"/>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53" name="Straight Connector 52"/>
          <xdr:cNvCxnSpPr>
            <a:endCxn id="60" idx="0"/>
          </xdr:cNvCxnSpPr>
        </xdr:nvCxnSpPr>
        <xdr:spPr>
          <a:xfrm>
            <a:off x="1905467" y="3933784"/>
            <a:ext cx="354550" cy="4086079"/>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1" name="Straight Connector 30"/>
          <xdr:cNvCxnSpPr/>
        </xdr:nvCxnSpPr>
        <xdr:spPr>
          <a:xfrm>
            <a:off x="1435928" y="2828923"/>
            <a:ext cx="402462" cy="923892"/>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2" name="Straight Connector 31"/>
          <xdr:cNvCxnSpPr/>
        </xdr:nvCxnSpPr>
        <xdr:spPr>
          <a:xfrm>
            <a:off x="2279181" y="2781300"/>
            <a:ext cx="143736" cy="1142959"/>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3" name="Straight Connector 32"/>
          <xdr:cNvCxnSpPr/>
        </xdr:nvCxnSpPr>
        <xdr:spPr>
          <a:xfrm flipH="1">
            <a:off x="2796632" y="2800349"/>
            <a:ext cx="603693" cy="1504896"/>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4" name="Straight Connector 33"/>
          <xdr:cNvCxnSpPr/>
        </xdr:nvCxnSpPr>
        <xdr:spPr>
          <a:xfrm flipH="1">
            <a:off x="2633731" y="2790825"/>
            <a:ext cx="1514023" cy="1847784"/>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5" name="Straight Connector 34"/>
          <xdr:cNvCxnSpPr/>
        </xdr:nvCxnSpPr>
        <xdr:spPr>
          <a:xfrm flipH="1">
            <a:off x="2662478" y="2800349"/>
            <a:ext cx="105407" cy="1314403"/>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6" name="Straight Connector 35"/>
          <xdr:cNvCxnSpPr/>
        </xdr:nvCxnSpPr>
        <xdr:spPr>
          <a:xfrm flipH="1">
            <a:off x="2815797" y="2800349"/>
            <a:ext cx="2060221" cy="1971605"/>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0" name="Straight Connector 39"/>
          <xdr:cNvCxnSpPr/>
        </xdr:nvCxnSpPr>
        <xdr:spPr>
          <a:xfrm flipH="1">
            <a:off x="2873291" y="2809874"/>
            <a:ext cx="2884309" cy="2152573"/>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1" name="Straight Connector 40"/>
          <xdr:cNvCxnSpPr/>
        </xdr:nvCxnSpPr>
        <xdr:spPr>
          <a:xfrm>
            <a:off x="6370876" y="2800349"/>
            <a:ext cx="4628311" cy="2905021"/>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3" name="Straight Connector 42"/>
          <xdr:cNvCxnSpPr/>
        </xdr:nvCxnSpPr>
        <xdr:spPr>
          <a:xfrm>
            <a:off x="7051228" y="2790825"/>
            <a:ext cx="3756310" cy="2676429"/>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5" name="Straight Connector 44"/>
          <xdr:cNvCxnSpPr/>
        </xdr:nvCxnSpPr>
        <xdr:spPr>
          <a:xfrm>
            <a:off x="7827404" y="2800349"/>
            <a:ext cx="3123870" cy="2285918"/>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65" name="Straight Connector 164"/>
          <xdr:cNvCxnSpPr/>
        </xdr:nvCxnSpPr>
        <xdr:spPr>
          <a:xfrm flipV="1">
            <a:off x="8210701" y="6086357"/>
            <a:ext cx="2970551" cy="3076465"/>
          </a:xfrm>
          <a:prstGeom prst="line">
            <a:avLst/>
          </a:prstGeom>
          <a:ln w="15875">
            <a:solidFill>
              <a:srgbClr val="00B0F0"/>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0</xdr:colOff>
      <xdr:row>0</xdr:row>
      <xdr:rowOff>0</xdr:rowOff>
    </xdr:from>
    <xdr:to>
      <xdr:col>26</xdr:col>
      <xdr:colOff>156500</xdr:colOff>
      <xdr:row>1</xdr:row>
      <xdr:rowOff>137750</xdr:rowOff>
    </xdr:to>
    <xdr:sp macro="" textlink="">
      <xdr:nvSpPr>
        <xdr:cNvPr id="21"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baseline="0">
              <a:latin typeface="+mn-lt"/>
              <a:ea typeface="+mn-ea"/>
              <a:cs typeface="+mn-cs"/>
            </a:rPr>
            <a:t>Repo Calculations in Excel</a:t>
          </a:r>
          <a:endParaRPr lang="en-US" sz="1800" b="1" i="0" u="none" strike="noStrike" baseline="0">
            <a:solidFill>
              <a:srgbClr val="000000"/>
            </a:solidFill>
            <a:latin typeface="+mn-lt"/>
            <a:cs typeface="Angsana New" pitchFamily="18" charset="-34"/>
          </a:endParaRPr>
        </a:p>
      </xdr:txBody>
    </xdr:sp>
    <xdr:clientData/>
  </xdr:twoCellAnchor>
  <xdr:twoCellAnchor>
    <xdr:from>
      <xdr:col>4</xdr:col>
      <xdr:colOff>38103</xdr:colOff>
      <xdr:row>50</xdr:row>
      <xdr:rowOff>96313</xdr:rowOff>
    </xdr:from>
    <xdr:to>
      <xdr:col>5</xdr:col>
      <xdr:colOff>556687</xdr:colOff>
      <xdr:row>52</xdr:row>
      <xdr:rowOff>61388</xdr:rowOff>
    </xdr:to>
    <xdr:sp macro="" textlink="">
      <xdr:nvSpPr>
        <xdr:cNvPr id="168" name="TextBox 167"/>
        <xdr:cNvSpPr txBox="1"/>
      </xdr:nvSpPr>
      <xdr:spPr>
        <a:xfrm>
          <a:off x="2524128" y="9440338"/>
          <a:ext cx="1128184" cy="2889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1100" b="0">
              <a:solidFill>
                <a:srgbClr val="00CCFF"/>
              </a:solidFill>
            </a:rPr>
            <a:t>= Repo rate</a:t>
          </a:r>
        </a:p>
      </xdr:txBody>
    </xdr:sp>
    <xdr:clientData/>
  </xdr:twoCellAnchor>
  <xdr:twoCellAnchor>
    <xdr:from>
      <xdr:col>9</xdr:col>
      <xdr:colOff>381000</xdr:colOff>
      <xdr:row>8</xdr:row>
      <xdr:rowOff>95250</xdr:rowOff>
    </xdr:from>
    <xdr:to>
      <xdr:col>19</xdr:col>
      <xdr:colOff>552450</xdr:colOff>
      <xdr:row>17</xdr:row>
      <xdr:rowOff>114300</xdr:rowOff>
    </xdr:to>
    <xdr:grpSp>
      <xdr:nvGrpSpPr>
        <xdr:cNvPr id="4785909" name="Group 8"/>
        <xdr:cNvGrpSpPr>
          <a:grpSpLocks/>
        </xdr:cNvGrpSpPr>
      </xdr:nvGrpSpPr>
      <xdr:grpSpPr bwMode="auto">
        <a:xfrm>
          <a:off x="6477000" y="1629833"/>
          <a:ext cx="7622117" cy="1945217"/>
          <a:chOff x="7334255" y="1629833"/>
          <a:chExt cx="6768000" cy="1944000"/>
        </a:xfrm>
      </xdr:grpSpPr>
      <xdr:cxnSp macro="">
        <xdr:nvCxnSpPr>
          <xdr:cNvPr id="8" name="Straight Connector 7"/>
          <xdr:cNvCxnSpPr/>
        </xdr:nvCxnSpPr>
        <xdr:spPr>
          <a:xfrm>
            <a:off x="7334255" y="1629833"/>
            <a:ext cx="6768000" cy="0"/>
          </a:xfrm>
          <a:prstGeom prst="line">
            <a:avLst/>
          </a:prstGeom>
          <a:ln w="3175">
            <a:solidFill>
              <a:srgbClr val="0070C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7" name="Straight Connector 46"/>
          <xdr:cNvCxnSpPr/>
        </xdr:nvCxnSpPr>
        <xdr:spPr>
          <a:xfrm rot="5400000">
            <a:off x="13130255" y="2601833"/>
            <a:ext cx="1944000" cy="0"/>
          </a:xfrm>
          <a:prstGeom prst="line">
            <a:avLst/>
          </a:prstGeom>
          <a:ln w="3175">
            <a:solidFill>
              <a:srgbClr val="0070C0"/>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19</xdr:col>
      <xdr:colOff>38100</xdr:colOff>
      <xdr:row>19</xdr:row>
      <xdr:rowOff>19050</xdr:rowOff>
    </xdr:from>
    <xdr:to>
      <xdr:col>33</xdr:col>
      <xdr:colOff>123825</xdr:colOff>
      <xdr:row>45</xdr:row>
      <xdr:rowOff>104775</xdr:rowOff>
    </xdr:to>
    <xdr:grpSp>
      <xdr:nvGrpSpPr>
        <xdr:cNvPr id="4785910" name="Group 10"/>
        <xdr:cNvGrpSpPr>
          <a:grpSpLocks/>
        </xdr:cNvGrpSpPr>
      </xdr:nvGrpSpPr>
      <xdr:grpSpPr bwMode="auto">
        <a:xfrm>
          <a:off x="13584767" y="3818467"/>
          <a:ext cx="8679391" cy="4954058"/>
          <a:chOff x="13588998" y="3820585"/>
          <a:chExt cx="8678335" cy="4952999"/>
        </a:xfrm>
      </xdr:grpSpPr>
      <xdr:pic>
        <xdr:nvPicPr>
          <xdr:cNvPr id="2" name="Picture 1"/>
          <xdr:cNvPicPr>
            <a:picLocks noChangeAspect="1"/>
          </xdr:cNvPicPr>
        </xdr:nvPicPr>
        <xdr:blipFill>
          <a:blip xmlns:r="http://schemas.openxmlformats.org/officeDocument/2006/relationships" r:embed="rId6"/>
          <a:stretch>
            <a:fillRect/>
          </a:stretch>
        </xdr:blipFill>
        <xdr:spPr>
          <a:xfrm>
            <a:off x="13588998" y="3820585"/>
            <a:ext cx="6290594" cy="3232283"/>
          </a:xfrm>
          <a:prstGeom prst="rect">
            <a:avLst/>
          </a:prstGeom>
          <a:effectLst>
            <a:outerShdw blurRad="50800" dist="38100" dir="2700000" algn="tl" rotWithShape="0">
              <a:prstClr val="black">
                <a:alpha val="40000"/>
              </a:prstClr>
            </a:outerShdw>
          </a:effectLst>
        </xdr:spPr>
      </xdr:pic>
      <xdr:pic>
        <xdr:nvPicPr>
          <xdr:cNvPr id="3" name="Picture 2"/>
          <xdr:cNvPicPr>
            <a:picLocks noChangeAspect="1"/>
          </xdr:cNvPicPr>
        </xdr:nvPicPr>
        <xdr:blipFill>
          <a:blip xmlns:r="http://schemas.openxmlformats.org/officeDocument/2006/relationships" r:embed="rId7"/>
          <a:stretch>
            <a:fillRect/>
          </a:stretch>
        </xdr:blipFill>
        <xdr:spPr>
          <a:xfrm>
            <a:off x="14730127" y="4685696"/>
            <a:ext cx="6290594" cy="3232283"/>
          </a:xfrm>
          <a:prstGeom prst="rect">
            <a:avLst/>
          </a:prstGeom>
          <a:effectLst>
            <a:outerShdw blurRad="50800" dist="38100" dir="2700000" algn="tl" rotWithShape="0">
              <a:prstClr val="black">
                <a:alpha val="40000"/>
              </a:prstClr>
            </a:outerShdw>
          </a:effectLst>
        </xdr:spPr>
      </xdr:pic>
      <xdr:pic>
        <xdr:nvPicPr>
          <xdr:cNvPr id="4785913" name="Picture 9"/>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980833" y="5524500"/>
            <a:ext cx="6286500" cy="32490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grp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0</xdr:row>
      <xdr:rowOff>0</xdr:rowOff>
    </xdr:from>
    <xdr:to>
      <xdr:col>27</xdr:col>
      <xdr:colOff>262333</xdr:colOff>
      <xdr:row>1</xdr:row>
      <xdr:rowOff>137750</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mn-lt"/>
              <a:cs typeface="Angsana New" pitchFamily="18" charset="-34"/>
            </a:rPr>
            <a:t>Data from contributor pages</a:t>
          </a:r>
        </a:p>
      </xdr:txBody>
    </xdr:sp>
    <xdr:clientData/>
  </xdr:twoCellAnchor>
  <xdr:twoCellAnchor>
    <xdr:from>
      <xdr:col>0</xdr:col>
      <xdr:colOff>247650</xdr:colOff>
      <xdr:row>166</xdr:row>
      <xdr:rowOff>0</xdr:rowOff>
    </xdr:from>
    <xdr:to>
      <xdr:col>10</xdr:col>
      <xdr:colOff>9525</xdr:colOff>
      <xdr:row>185</xdr:row>
      <xdr:rowOff>114300</xdr:rowOff>
    </xdr:to>
    <xdr:grpSp>
      <xdr:nvGrpSpPr>
        <xdr:cNvPr id="4841738" name="Group 1"/>
        <xdr:cNvGrpSpPr>
          <a:grpSpLocks/>
        </xdr:cNvGrpSpPr>
      </xdr:nvGrpSpPr>
      <xdr:grpSpPr bwMode="auto">
        <a:xfrm>
          <a:off x="247650" y="32173333"/>
          <a:ext cx="5635625" cy="3733800"/>
          <a:chOff x="255549" y="5405112"/>
          <a:chExt cx="5617890" cy="3737029"/>
        </a:xfrm>
      </xdr:grpSpPr>
      <xdr:pic>
        <xdr:nvPicPr>
          <xdr:cNvPr id="484178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1273" y="5627416"/>
            <a:ext cx="5532166" cy="351472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xnSp macro="">
        <xdr:nvCxnSpPr>
          <xdr:cNvPr id="15" name="Straight Connector 14"/>
          <xdr:cNvCxnSpPr>
            <a:stCxn id="6" idx="1"/>
          </xdr:cNvCxnSpPr>
        </xdr:nvCxnSpPr>
        <xdr:spPr>
          <a:xfrm flipH="1">
            <a:off x="255549" y="5853174"/>
            <a:ext cx="114456" cy="9533"/>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3" name="Straight Connector 12"/>
          <xdr:cNvCxnSpPr/>
        </xdr:nvCxnSpPr>
        <xdr:spPr>
          <a:xfrm>
            <a:off x="255549" y="5405112"/>
            <a:ext cx="925187" cy="0"/>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20" name="Straight Connector 19"/>
          <xdr:cNvCxnSpPr/>
        </xdr:nvCxnSpPr>
        <xdr:spPr>
          <a:xfrm>
            <a:off x="255549" y="5405112"/>
            <a:ext cx="0" cy="448062"/>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10</xdr:col>
      <xdr:colOff>295275</xdr:colOff>
      <xdr:row>198</xdr:row>
      <xdr:rowOff>0</xdr:rowOff>
    </xdr:from>
    <xdr:to>
      <xdr:col>10</xdr:col>
      <xdr:colOff>295275</xdr:colOff>
      <xdr:row>200</xdr:row>
      <xdr:rowOff>28575</xdr:rowOff>
    </xdr:to>
    <xdr:cxnSp macro="">
      <xdr:nvCxnSpPr>
        <xdr:cNvPr id="143628" name="Straight Arrow Connector 143627"/>
        <xdr:cNvCxnSpPr/>
      </xdr:nvCxnSpPr>
      <xdr:spPr>
        <a:xfrm>
          <a:off x="8458200" y="11506200"/>
          <a:ext cx="0" cy="409575"/>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304800</xdr:colOff>
      <xdr:row>198</xdr:row>
      <xdr:rowOff>0</xdr:rowOff>
    </xdr:from>
    <xdr:to>
      <xdr:col>11</xdr:col>
      <xdr:colOff>304800</xdr:colOff>
      <xdr:row>200</xdr:row>
      <xdr:rowOff>28575</xdr:rowOff>
    </xdr:to>
    <xdr:cxnSp macro="">
      <xdr:nvCxnSpPr>
        <xdr:cNvPr id="45" name="Straight Arrow Connector 44"/>
        <xdr:cNvCxnSpPr/>
      </xdr:nvCxnSpPr>
      <xdr:spPr>
        <a:xfrm>
          <a:off x="7267575" y="11315700"/>
          <a:ext cx="0" cy="409575"/>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247650</xdr:colOff>
      <xdr:row>168</xdr:row>
      <xdr:rowOff>0</xdr:rowOff>
    </xdr:from>
    <xdr:to>
      <xdr:col>7</xdr:col>
      <xdr:colOff>600075</xdr:colOff>
      <xdr:row>187</xdr:row>
      <xdr:rowOff>9525</xdr:rowOff>
    </xdr:to>
    <xdr:grpSp>
      <xdr:nvGrpSpPr>
        <xdr:cNvPr id="4841741" name="Group 2"/>
        <xdr:cNvGrpSpPr>
          <a:grpSpLocks/>
        </xdr:cNvGrpSpPr>
      </xdr:nvGrpSpPr>
      <xdr:grpSpPr bwMode="auto">
        <a:xfrm>
          <a:off x="491067" y="32554333"/>
          <a:ext cx="4173008" cy="3629025"/>
          <a:chOff x="504810" y="5791201"/>
          <a:chExt cx="4150194" cy="3629025"/>
        </a:xfrm>
      </xdr:grpSpPr>
      <xdr:sp macro="" textlink="">
        <xdr:nvSpPr>
          <xdr:cNvPr id="26" name="Rounded Rectangle 25"/>
          <xdr:cNvSpPr/>
        </xdr:nvSpPr>
        <xdr:spPr>
          <a:xfrm>
            <a:off x="504810" y="5791201"/>
            <a:ext cx="904285" cy="133350"/>
          </a:xfrm>
          <a:prstGeom prst="round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31" name="Straight Connector 30"/>
          <xdr:cNvCxnSpPr/>
        </xdr:nvCxnSpPr>
        <xdr:spPr>
          <a:xfrm flipH="1" flipV="1">
            <a:off x="4645485" y="6010276"/>
            <a:ext cx="9519" cy="3409950"/>
          </a:xfrm>
          <a:prstGeom prst="line">
            <a:avLst/>
          </a:prstGeom>
          <a:ln w="12700">
            <a:solidFill>
              <a:srgbClr val="0070C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43620" name="Straight Connector 143619"/>
          <xdr:cNvCxnSpPr/>
        </xdr:nvCxnSpPr>
        <xdr:spPr>
          <a:xfrm flipH="1">
            <a:off x="952193" y="6010276"/>
            <a:ext cx="3693292" cy="0"/>
          </a:xfrm>
          <a:prstGeom prst="line">
            <a:avLst/>
          </a:prstGeom>
          <a:ln w="12700">
            <a:solidFill>
              <a:srgbClr val="0070C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143638" name="Straight Connector 143637"/>
          <xdr:cNvCxnSpPr/>
        </xdr:nvCxnSpPr>
        <xdr:spPr>
          <a:xfrm flipV="1">
            <a:off x="952193" y="5924551"/>
            <a:ext cx="0" cy="76200"/>
          </a:xfrm>
          <a:prstGeom prst="line">
            <a:avLst/>
          </a:prstGeom>
          <a:ln w="12700">
            <a:solidFill>
              <a:srgbClr val="0070C0"/>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116401</xdr:colOff>
      <xdr:row>168</xdr:row>
      <xdr:rowOff>0</xdr:rowOff>
    </xdr:from>
    <xdr:to>
      <xdr:col>1</xdr:col>
      <xdr:colOff>210912</xdr:colOff>
      <xdr:row>168</xdr:row>
      <xdr:rowOff>136072</xdr:rowOff>
    </xdr:to>
    <xdr:sp macro="" textlink="">
      <xdr:nvSpPr>
        <xdr:cNvPr id="6" name="Rounded Rectangle 5"/>
        <xdr:cNvSpPr/>
      </xdr:nvSpPr>
      <xdr:spPr>
        <a:xfrm>
          <a:off x="374937" y="5789839"/>
          <a:ext cx="94511" cy="136072"/>
        </a:xfrm>
        <a:prstGeom prst="roundRect">
          <a:avLst/>
        </a:prstGeom>
        <a:noFill/>
        <a:ln w="95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10</xdr:col>
      <xdr:colOff>314325</xdr:colOff>
      <xdr:row>222</xdr:row>
      <xdr:rowOff>28575</xdr:rowOff>
    </xdr:from>
    <xdr:to>
      <xdr:col>10</xdr:col>
      <xdr:colOff>314325</xdr:colOff>
      <xdr:row>224</xdr:row>
      <xdr:rowOff>9525</xdr:rowOff>
    </xdr:to>
    <xdr:cxnSp macro="">
      <xdr:nvCxnSpPr>
        <xdr:cNvPr id="22" name="Straight Arrow Connector 21"/>
        <xdr:cNvCxnSpPr/>
      </xdr:nvCxnSpPr>
      <xdr:spPr>
        <a:xfrm>
          <a:off x="6162675" y="16135350"/>
          <a:ext cx="0" cy="36195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295275</xdr:colOff>
      <xdr:row>221</xdr:row>
      <xdr:rowOff>180975</xdr:rowOff>
    </xdr:from>
    <xdr:to>
      <xdr:col>12</xdr:col>
      <xdr:colOff>295275</xdr:colOff>
      <xdr:row>223</xdr:row>
      <xdr:rowOff>161925</xdr:rowOff>
    </xdr:to>
    <xdr:cxnSp macro="">
      <xdr:nvCxnSpPr>
        <xdr:cNvPr id="27" name="Straight Arrow Connector 26"/>
        <xdr:cNvCxnSpPr/>
      </xdr:nvCxnSpPr>
      <xdr:spPr>
        <a:xfrm>
          <a:off x="7343775" y="16097250"/>
          <a:ext cx="0" cy="36195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295275</xdr:colOff>
      <xdr:row>221</xdr:row>
      <xdr:rowOff>180975</xdr:rowOff>
    </xdr:from>
    <xdr:to>
      <xdr:col>14</xdr:col>
      <xdr:colOff>295275</xdr:colOff>
      <xdr:row>223</xdr:row>
      <xdr:rowOff>161925</xdr:rowOff>
    </xdr:to>
    <xdr:cxnSp macro="">
      <xdr:nvCxnSpPr>
        <xdr:cNvPr id="28" name="Straight Arrow Connector 27"/>
        <xdr:cNvCxnSpPr/>
      </xdr:nvCxnSpPr>
      <xdr:spPr>
        <a:xfrm>
          <a:off x="8543925" y="16097250"/>
          <a:ext cx="0" cy="36195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66675</xdr:colOff>
      <xdr:row>220</xdr:row>
      <xdr:rowOff>123825</xdr:rowOff>
    </xdr:from>
    <xdr:to>
      <xdr:col>9</xdr:col>
      <xdr:colOff>171449</xdr:colOff>
      <xdr:row>221</xdr:row>
      <xdr:rowOff>98281</xdr:rowOff>
    </xdr:to>
    <xdr:sp macro="" textlink="">
      <xdr:nvSpPr>
        <xdr:cNvPr id="29" name="TextBox 28"/>
        <xdr:cNvSpPr txBox="1"/>
      </xdr:nvSpPr>
      <xdr:spPr>
        <a:xfrm>
          <a:off x="5314950" y="15849600"/>
          <a:ext cx="104774" cy="164956"/>
        </a:xfrm>
        <a:prstGeom prst="rect">
          <a:avLst/>
        </a:prstGeom>
        <a:solidFill>
          <a:srgbClr val="FF0000"/>
        </a:solidFill>
        <a:ln>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ctr"/>
          <a:r>
            <a:rPr lang="en-GB" sz="1100" b="1">
              <a:solidFill>
                <a:schemeClr val="bg1"/>
              </a:solidFill>
            </a:rPr>
            <a:t>1</a:t>
          </a:r>
        </a:p>
      </xdr:txBody>
    </xdr:sp>
    <xdr:clientData/>
  </xdr:twoCellAnchor>
  <xdr:twoCellAnchor>
    <xdr:from>
      <xdr:col>11</xdr:col>
      <xdr:colOff>152400</xdr:colOff>
      <xdr:row>220</xdr:row>
      <xdr:rowOff>123825</xdr:rowOff>
    </xdr:from>
    <xdr:to>
      <xdr:col>11</xdr:col>
      <xdr:colOff>257174</xdr:colOff>
      <xdr:row>221</xdr:row>
      <xdr:rowOff>98281</xdr:rowOff>
    </xdr:to>
    <xdr:sp macro="" textlink="">
      <xdr:nvSpPr>
        <xdr:cNvPr id="32" name="TextBox 31"/>
        <xdr:cNvSpPr txBox="1"/>
      </xdr:nvSpPr>
      <xdr:spPr>
        <a:xfrm>
          <a:off x="6600825" y="15849600"/>
          <a:ext cx="104774" cy="164956"/>
        </a:xfrm>
        <a:prstGeom prst="rect">
          <a:avLst/>
        </a:prstGeom>
        <a:solidFill>
          <a:srgbClr val="FF0000"/>
        </a:solidFill>
        <a:ln>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ctr"/>
          <a:r>
            <a:rPr lang="en-GB" sz="1100" b="1">
              <a:solidFill>
                <a:schemeClr val="bg1"/>
              </a:solidFill>
            </a:rPr>
            <a:t>2</a:t>
          </a:r>
        </a:p>
      </xdr:txBody>
    </xdr:sp>
    <xdr:clientData/>
  </xdr:twoCellAnchor>
  <xdr:twoCellAnchor>
    <xdr:from>
      <xdr:col>13</xdr:col>
      <xdr:colOff>114300</xdr:colOff>
      <xdr:row>220</xdr:row>
      <xdr:rowOff>123825</xdr:rowOff>
    </xdr:from>
    <xdr:to>
      <xdr:col>13</xdr:col>
      <xdr:colOff>219074</xdr:colOff>
      <xdr:row>221</xdr:row>
      <xdr:rowOff>98281</xdr:rowOff>
    </xdr:to>
    <xdr:sp macro="" textlink="">
      <xdr:nvSpPr>
        <xdr:cNvPr id="33" name="TextBox 32"/>
        <xdr:cNvSpPr txBox="1"/>
      </xdr:nvSpPr>
      <xdr:spPr>
        <a:xfrm>
          <a:off x="7762875" y="15849600"/>
          <a:ext cx="104774" cy="164956"/>
        </a:xfrm>
        <a:prstGeom prst="rect">
          <a:avLst/>
        </a:prstGeom>
        <a:solidFill>
          <a:srgbClr val="FF0000"/>
        </a:solidFill>
        <a:ln>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ctr"/>
          <a:r>
            <a:rPr lang="en-GB" sz="1100" b="1">
              <a:solidFill>
                <a:schemeClr val="bg1"/>
              </a:solidFill>
            </a:rPr>
            <a:t>3</a:t>
          </a:r>
        </a:p>
      </xdr:txBody>
    </xdr:sp>
    <xdr:clientData/>
  </xdr:twoCellAnchor>
  <xdr:twoCellAnchor>
    <xdr:from>
      <xdr:col>2</xdr:col>
      <xdr:colOff>219075</xdr:colOff>
      <xdr:row>221</xdr:row>
      <xdr:rowOff>95250</xdr:rowOff>
    </xdr:from>
    <xdr:to>
      <xdr:col>5</xdr:col>
      <xdr:colOff>0</xdr:colOff>
      <xdr:row>222</xdr:row>
      <xdr:rowOff>171450</xdr:rowOff>
    </xdr:to>
    <xdr:grpSp>
      <xdr:nvGrpSpPr>
        <xdr:cNvPr id="4841749" name="Group 50"/>
        <xdr:cNvGrpSpPr>
          <a:grpSpLocks/>
        </xdr:cNvGrpSpPr>
      </xdr:nvGrpSpPr>
      <xdr:grpSpPr bwMode="auto">
        <a:xfrm>
          <a:off x="1171575" y="42746083"/>
          <a:ext cx="1685925" cy="266700"/>
          <a:chOff x="1169458" y="16010467"/>
          <a:chExt cx="1678517" cy="269422"/>
        </a:xfrm>
      </xdr:grpSpPr>
      <xdr:cxnSp macro="">
        <xdr:nvCxnSpPr>
          <xdr:cNvPr id="34" name="Straight Connector 33"/>
          <xdr:cNvCxnSpPr/>
        </xdr:nvCxnSpPr>
        <xdr:spPr bwMode="auto">
          <a:xfrm>
            <a:off x="1217143" y="16010467"/>
            <a:ext cx="1630832" cy="0"/>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37" name="Straight Connector 36"/>
          <xdr:cNvCxnSpPr>
            <a:endCxn id="44" idx="0"/>
          </xdr:cNvCxnSpPr>
        </xdr:nvCxnSpPr>
        <xdr:spPr bwMode="auto">
          <a:xfrm>
            <a:off x="1217143" y="16010467"/>
            <a:ext cx="0" cy="134711"/>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1" name="Straight Connector 40"/>
          <xdr:cNvCxnSpPr/>
        </xdr:nvCxnSpPr>
        <xdr:spPr bwMode="auto">
          <a:xfrm>
            <a:off x="2847975" y="16010467"/>
            <a:ext cx="0" cy="240555"/>
          </a:xfrm>
          <a:prstGeom prst="line">
            <a:avLst/>
          </a:prstGeom>
          <a:ln w="63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sp macro="" textlink="">
        <xdr:nvSpPr>
          <xdr:cNvPr id="44" name="Rounded Rectangle 43"/>
          <xdr:cNvSpPr/>
        </xdr:nvSpPr>
        <xdr:spPr>
          <a:xfrm>
            <a:off x="1169458" y="16145178"/>
            <a:ext cx="95370" cy="134711"/>
          </a:xfrm>
          <a:prstGeom prst="round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editAs="oneCell">
    <xdr:from>
      <xdr:col>1</xdr:col>
      <xdr:colOff>0</xdr:colOff>
      <xdr:row>219</xdr:row>
      <xdr:rowOff>0</xdr:rowOff>
    </xdr:from>
    <xdr:to>
      <xdr:col>17</xdr:col>
      <xdr:colOff>9525</xdr:colOff>
      <xdr:row>226</xdr:row>
      <xdr:rowOff>9525</xdr:rowOff>
    </xdr:to>
    <xdr:pic>
      <xdr:nvPicPr>
        <xdr:cNvPr id="4841750" name="Picture 1084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7650" y="42262425"/>
          <a:ext cx="97059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228600</xdr:colOff>
      <xdr:row>244</xdr:row>
      <xdr:rowOff>0</xdr:rowOff>
    </xdr:from>
    <xdr:to>
      <xdr:col>12</xdr:col>
      <xdr:colOff>161925</xdr:colOff>
      <xdr:row>270</xdr:row>
      <xdr:rowOff>66675</xdr:rowOff>
    </xdr:to>
    <xdr:pic>
      <xdr:nvPicPr>
        <xdr:cNvPr id="4841751" name="Picture 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28600" y="47024925"/>
          <a:ext cx="6981825" cy="501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219075</xdr:colOff>
      <xdr:row>244</xdr:row>
      <xdr:rowOff>0</xdr:rowOff>
    </xdr:from>
    <xdr:to>
      <xdr:col>12</xdr:col>
      <xdr:colOff>161925</xdr:colOff>
      <xdr:row>269</xdr:row>
      <xdr:rowOff>66675</xdr:rowOff>
    </xdr:to>
    <xdr:pic>
      <xdr:nvPicPr>
        <xdr:cNvPr id="4841752" name="Picture 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9075" y="47024925"/>
          <a:ext cx="6991350" cy="482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195</xdr:row>
      <xdr:rowOff>0</xdr:rowOff>
    </xdr:from>
    <xdr:to>
      <xdr:col>17</xdr:col>
      <xdr:colOff>9525</xdr:colOff>
      <xdr:row>218</xdr:row>
      <xdr:rowOff>9525</xdr:rowOff>
    </xdr:to>
    <xdr:grpSp>
      <xdr:nvGrpSpPr>
        <xdr:cNvPr id="4841753" name="Group 11"/>
        <xdr:cNvGrpSpPr>
          <a:grpSpLocks/>
        </xdr:cNvGrpSpPr>
      </xdr:nvGrpSpPr>
      <xdr:grpSpPr bwMode="auto">
        <a:xfrm>
          <a:off x="243417" y="37697833"/>
          <a:ext cx="9756775" cy="4391025"/>
          <a:chOff x="247650" y="10963275"/>
          <a:chExt cx="9705975" cy="4391025"/>
        </a:xfrm>
      </xdr:grpSpPr>
      <xdr:pic>
        <xdr:nvPicPr>
          <xdr:cNvPr id="4841772" name="Picture 2"/>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7650" y="10963275"/>
            <a:ext cx="9705975" cy="439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xnSp macro="">
        <xdr:nvCxnSpPr>
          <xdr:cNvPr id="11" name="Straight Connector 10"/>
          <xdr:cNvCxnSpPr/>
        </xdr:nvCxnSpPr>
        <xdr:spPr>
          <a:xfrm>
            <a:off x="257175" y="10963275"/>
            <a:ext cx="3267075" cy="0"/>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10</xdr:col>
      <xdr:colOff>571500</xdr:colOff>
      <xdr:row>167</xdr:row>
      <xdr:rowOff>19050</xdr:rowOff>
    </xdr:from>
    <xdr:to>
      <xdr:col>19</xdr:col>
      <xdr:colOff>438150</xdr:colOff>
      <xdr:row>185</xdr:row>
      <xdr:rowOff>133350</xdr:rowOff>
    </xdr:to>
    <xdr:grpSp>
      <xdr:nvGrpSpPr>
        <xdr:cNvPr id="4841754" name="Group 3"/>
        <xdr:cNvGrpSpPr>
          <a:grpSpLocks/>
        </xdr:cNvGrpSpPr>
      </xdr:nvGrpSpPr>
      <xdr:grpSpPr bwMode="auto">
        <a:xfrm>
          <a:off x="6445250" y="32382883"/>
          <a:ext cx="5190067" cy="3543300"/>
          <a:chOff x="6448558" y="6674806"/>
          <a:chExt cx="4700712" cy="2907079"/>
        </a:xfrm>
      </xdr:grpSpPr>
      <xdr:pic>
        <xdr:nvPicPr>
          <xdr:cNvPr id="4841770" name="Picture 1"/>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487583" y="6674806"/>
            <a:ext cx="4661687" cy="290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47" name="Rounded Rectangle 46"/>
          <xdr:cNvSpPr/>
        </xdr:nvSpPr>
        <xdr:spPr>
          <a:xfrm>
            <a:off x="6448558" y="6799842"/>
            <a:ext cx="954019" cy="117221"/>
          </a:xfrm>
          <a:prstGeom prst="roundRect">
            <a:avLst/>
          </a:prstGeom>
          <a:noFill/>
          <a:ln w="127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editAs="oneCell">
    <xdr:from>
      <xdr:col>13</xdr:col>
      <xdr:colOff>0</xdr:colOff>
      <xdr:row>244</xdr:row>
      <xdr:rowOff>0</xdr:rowOff>
    </xdr:from>
    <xdr:to>
      <xdr:col>23</xdr:col>
      <xdr:colOff>95250</xdr:colOff>
      <xdr:row>270</xdr:row>
      <xdr:rowOff>57150</xdr:rowOff>
    </xdr:to>
    <xdr:pic>
      <xdr:nvPicPr>
        <xdr:cNvPr id="4841755" name="Picture 6"/>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648575" y="47024925"/>
          <a:ext cx="7067550" cy="50101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228600</xdr:colOff>
      <xdr:row>109</xdr:row>
      <xdr:rowOff>0</xdr:rowOff>
    </xdr:from>
    <xdr:to>
      <xdr:col>12</xdr:col>
      <xdr:colOff>161925</xdr:colOff>
      <xdr:row>135</xdr:row>
      <xdr:rowOff>66675</xdr:rowOff>
    </xdr:to>
    <xdr:pic>
      <xdr:nvPicPr>
        <xdr:cNvPr id="4841756" name="Picture 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28600" y="20916900"/>
          <a:ext cx="6981825" cy="501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380999</xdr:colOff>
      <xdr:row>110</xdr:row>
      <xdr:rowOff>63500</xdr:rowOff>
    </xdr:from>
    <xdr:to>
      <xdr:col>3</xdr:col>
      <xdr:colOff>52917</xdr:colOff>
      <xdr:row>111</xdr:row>
      <xdr:rowOff>31750</xdr:rowOff>
    </xdr:to>
    <xdr:sp macro="" textlink="">
      <xdr:nvSpPr>
        <xdr:cNvPr id="51" name="Rectangle 50"/>
        <xdr:cNvSpPr/>
      </xdr:nvSpPr>
      <xdr:spPr>
        <a:xfrm>
          <a:off x="609599" y="35277425"/>
          <a:ext cx="976843" cy="158750"/>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editAs="oneCell">
    <xdr:from>
      <xdr:col>0</xdr:col>
      <xdr:colOff>219075</xdr:colOff>
      <xdr:row>135</xdr:row>
      <xdr:rowOff>161925</xdr:rowOff>
    </xdr:from>
    <xdr:to>
      <xdr:col>12</xdr:col>
      <xdr:colOff>161925</xdr:colOff>
      <xdr:row>161</xdr:row>
      <xdr:rowOff>38100</xdr:rowOff>
    </xdr:to>
    <xdr:pic>
      <xdr:nvPicPr>
        <xdr:cNvPr id="4841758" name="Picture 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9075" y="26031825"/>
          <a:ext cx="6991350" cy="482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111</xdr:row>
      <xdr:rowOff>55033</xdr:rowOff>
    </xdr:from>
    <xdr:to>
      <xdr:col>2</xdr:col>
      <xdr:colOff>390526</xdr:colOff>
      <xdr:row>112</xdr:row>
      <xdr:rowOff>23283</xdr:rowOff>
    </xdr:to>
    <xdr:sp macro="" textlink="">
      <xdr:nvSpPr>
        <xdr:cNvPr id="53" name="Rectangle 52"/>
        <xdr:cNvSpPr/>
      </xdr:nvSpPr>
      <xdr:spPr>
        <a:xfrm>
          <a:off x="400050" y="35459458"/>
          <a:ext cx="923926" cy="158750"/>
        </a:xfrm>
        <a:prstGeom prst="rect">
          <a:avLst/>
        </a:prstGeom>
        <a:no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6</xdr:col>
      <xdr:colOff>548513</xdr:colOff>
      <xdr:row>143</xdr:row>
      <xdr:rowOff>135675</xdr:rowOff>
    </xdr:from>
    <xdr:to>
      <xdr:col>10</xdr:col>
      <xdr:colOff>582804</xdr:colOff>
      <xdr:row>146</xdr:row>
      <xdr:rowOff>69000</xdr:rowOff>
    </xdr:to>
    <xdr:sp macro="" textlink="">
      <xdr:nvSpPr>
        <xdr:cNvPr id="54" name="TextBox 53"/>
        <xdr:cNvSpPr txBox="1"/>
      </xdr:nvSpPr>
      <xdr:spPr>
        <a:xfrm rot="1251963">
          <a:off x="3977513" y="41636100"/>
          <a:ext cx="2434591" cy="504825"/>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solidFill>
                <a:srgbClr val="FF0000"/>
              </a:solidFill>
            </a:rPr>
            <a:t>To get the data into specific cells</a:t>
          </a:r>
          <a:r>
            <a:rPr lang="en-GB" sz="1100" baseline="0">
              <a:solidFill>
                <a:srgbClr val="FF0000"/>
              </a:solidFill>
            </a:rPr>
            <a:t> please refer to the example in cell B122</a:t>
          </a:r>
          <a:endParaRPr lang="en-GB" sz="1100">
            <a:solidFill>
              <a:srgbClr val="FF0000"/>
            </a:solidFill>
          </a:endParaRPr>
        </a:p>
      </xdr:txBody>
    </xdr:sp>
    <xdr:clientData/>
  </xdr:twoCellAnchor>
  <xdr:twoCellAnchor editAs="oneCell">
    <xdr:from>
      <xdr:col>13</xdr:col>
      <xdr:colOff>0</xdr:colOff>
      <xdr:row>109</xdr:row>
      <xdr:rowOff>0</xdr:rowOff>
    </xdr:from>
    <xdr:to>
      <xdr:col>23</xdr:col>
      <xdr:colOff>66675</xdr:colOff>
      <xdr:row>135</xdr:row>
      <xdr:rowOff>57150</xdr:rowOff>
    </xdr:to>
    <xdr:pic>
      <xdr:nvPicPr>
        <xdr:cNvPr id="4841761" name="Picture 6"/>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648575" y="20916900"/>
          <a:ext cx="7038975" cy="50101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550334</xdr:colOff>
      <xdr:row>110</xdr:row>
      <xdr:rowOff>21168</xdr:rowOff>
    </xdr:from>
    <xdr:to>
      <xdr:col>15</xdr:col>
      <xdr:colOff>328083</xdr:colOff>
      <xdr:row>111</xdr:row>
      <xdr:rowOff>31752</xdr:rowOff>
    </xdr:to>
    <xdr:sp macro="" textlink="">
      <xdr:nvSpPr>
        <xdr:cNvPr id="56" name="Rectangle 55"/>
        <xdr:cNvSpPr/>
      </xdr:nvSpPr>
      <xdr:spPr>
        <a:xfrm>
          <a:off x="7579784" y="35235093"/>
          <a:ext cx="1577974" cy="201084"/>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editAs="oneCell">
    <xdr:from>
      <xdr:col>1</xdr:col>
      <xdr:colOff>0</xdr:colOff>
      <xdr:row>5</xdr:row>
      <xdr:rowOff>0</xdr:rowOff>
    </xdr:from>
    <xdr:to>
      <xdr:col>15</xdr:col>
      <xdr:colOff>313211</xdr:colOff>
      <xdr:row>32</xdr:row>
      <xdr:rowOff>132690</xdr:rowOff>
    </xdr:to>
    <xdr:pic>
      <xdr:nvPicPr>
        <xdr:cNvPr id="4" name="Picture 3"/>
        <xdr:cNvPicPr>
          <a:picLocks noChangeAspect="1"/>
        </xdr:cNvPicPr>
      </xdr:nvPicPr>
      <xdr:blipFill>
        <a:blip xmlns:r="http://schemas.openxmlformats.org/officeDocument/2006/relationships" r:embed="rId8"/>
        <a:stretch>
          <a:fillRect/>
        </a:stretch>
      </xdr:blipFill>
      <xdr:spPr>
        <a:xfrm>
          <a:off x="228600" y="1171575"/>
          <a:ext cx="8914286" cy="5276190"/>
        </a:xfrm>
        <a:prstGeom prst="rect">
          <a:avLst/>
        </a:prstGeom>
        <a:ln>
          <a:noFill/>
        </a:ln>
        <a:effectLst>
          <a:outerShdw blurRad="50800" dist="38100" dir="2700000" algn="tl" rotWithShape="0">
            <a:prstClr val="black">
              <a:alpha val="40000"/>
            </a:prstClr>
          </a:outerShdw>
        </a:effectLst>
      </xdr:spPr>
    </xdr:pic>
    <xdr:clientData/>
  </xdr:twoCellAnchor>
  <xdr:twoCellAnchor>
    <xdr:from>
      <xdr:col>17</xdr:col>
      <xdr:colOff>412749</xdr:colOff>
      <xdr:row>34</xdr:row>
      <xdr:rowOff>20729</xdr:rowOff>
    </xdr:from>
    <xdr:to>
      <xdr:col>20</xdr:col>
      <xdr:colOff>486833</xdr:colOff>
      <xdr:row>42</xdr:row>
      <xdr:rowOff>118781</xdr:rowOff>
    </xdr:to>
    <xdr:pic>
      <xdr:nvPicPr>
        <xdr:cNvPr id="62" name="Picture 15" descr="C:\temp\Temporary Internet Files\Content.IE5\YDX1DO08\MC900439805[1].png"/>
        <xdr:cNvPicPr>
          <a:picLocks noChangeAspect="1" noChangeArrowheads="1"/>
        </xdr:cNvPicPr>
      </xdr:nvPicPr>
      <xdr:blipFill>
        <a:blip xmlns:r="http://schemas.openxmlformats.org/officeDocument/2006/relationships" r:embed="rId9">
          <a:duotone>
            <a:schemeClr val="accent1">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5400000">
          <a:off x="10507848" y="6425047"/>
          <a:ext cx="1674969" cy="1883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581025</xdr:colOff>
      <xdr:row>34</xdr:row>
      <xdr:rowOff>57150</xdr:rowOff>
    </xdr:from>
    <xdr:to>
      <xdr:col>18</xdr:col>
      <xdr:colOff>504825</xdr:colOff>
      <xdr:row>63</xdr:row>
      <xdr:rowOff>0</xdr:rowOff>
    </xdr:to>
    <xdr:grpSp>
      <xdr:nvGrpSpPr>
        <xdr:cNvPr id="55" name="Group 11"/>
        <xdr:cNvGrpSpPr>
          <a:grpSpLocks/>
        </xdr:cNvGrpSpPr>
      </xdr:nvGrpSpPr>
      <xdr:grpSpPr bwMode="auto">
        <a:xfrm>
          <a:off x="2136775" y="6565900"/>
          <a:ext cx="8961967" cy="5520267"/>
          <a:chOff x="8152038" y="8810625"/>
          <a:chExt cx="8896598" cy="5504762"/>
        </a:xfrm>
        <a:effectLst>
          <a:outerShdw blurRad="50800" dist="38100" dir="2700000" algn="tl" rotWithShape="0">
            <a:prstClr val="black">
              <a:alpha val="40000"/>
            </a:prstClr>
          </a:outerShdw>
        </a:effectLst>
      </xdr:grpSpPr>
      <xdr:pic>
        <xdr:nvPicPr>
          <xdr:cNvPr id="8" name="Picture 7"/>
          <xdr:cNvPicPr>
            <a:picLocks noChangeAspect="1"/>
          </xdr:cNvPicPr>
        </xdr:nvPicPr>
        <xdr:blipFill>
          <a:blip xmlns:r="http://schemas.openxmlformats.org/officeDocument/2006/relationships" r:embed="rId10"/>
          <a:stretch>
            <a:fillRect/>
          </a:stretch>
        </xdr:blipFill>
        <xdr:spPr>
          <a:xfrm>
            <a:off x="8148886" y="8807459"/>
            <a:ext cx="8235762" cy="5376008"/>
          </a:xfrm>
          <a:prstGeom prst="rect">
            <a:avLst/>
          </a:prstGeom>
          <a:ln>
            <a:noFill/>
          </a:ln>
          <a:effectLst>
            <a:outerShdw blurRad="50800" dist="38100" dir="2700000" algn="tl" rotWithShape="0">
              <a:prstClr val="black">
                <a:alpha val="40000"/>
              </a:prstClr>
            </a:outerShdw>
          </a:effectLst>
        </xdr:spPr>
      </xdr:pic>
      <xdr:pic>
        <xdr:nvPicPr>
          <xdr:cNvPr id="10" name="Picture 9"/>
          <xdr:cNvPicPr>
            <a:picLocks noChangeAspect="1"/>
          </xdr:cNvPicPr>
        </xdr:nvPicPr>
        <xdr:blipFill>
          <a:blip xmlns:r="http://schemas.openxmlformats.org/officeDocument/2006/relationships" r:embed="rId11"/>
          <a:stretch>
            <a:fillRect/>
          </a:stretch>
        </xdr:blipFill>
        <xdr:spPr>
          <a:xfrm>
            <a:off x="8148886" y="8807459"/>
            <a:ext cx="8226306" cy="199463"/>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14</xdr:col>
      <xdr:colOff>478116</xdr:colOff>
      <xdr:row>18</xdr:row>
      <xdr:rowOff>56029</xdr:rowOff>
    </xdr:from>
    <xdr:to>
      <xdr:col>14</xdr:col>
      <xdr:colOff>478116</xdr:colOff>
      <xdr:row>35</xdr:row>
      <xdr:rowOff>168088</xdr:rowOff>
    </xdr:to>
    <xdr:cxnSp macro="">
      <xdr:nvCxnSpPr>
        <xdr:cNvPr id="7" name="Straight Arrow Connector 6"/>
        <xdr:cNvCxnSpPr/>
      </xdr:nvCxnSpPr>
      <xdr:spPr>
        <a:xfrm>
          <a:off x="8764866" y="3516779"/>
          <a:ext cx="0" cy="3350559"/>
        </a:xfrm>
        <a:prstGeom prst="straightConnector1">
          <a:avLst/>
        </a:prstGeom>
        <a:ln w="28575">
          <a:solidFill>
            <a:srgbClr val="0070C0"/>
          </a:solidFill>
          <a:tailEnd type="triangle"/>
        </a:ln>
      </xdr:spPr>
      <xdr:style>
        <a:lnRef idx="1">
          <a:schemeClr val="accent6"/>
        </a:lnRef>
        <a:fillRef idx="0">
          <a:schemeClr val="accent6"/>
        </a:fillRef>
        <a:effectRef idx="0">
          <a:schemeClr val="accent6"/>
        </a:effectRef>
        <a:fontRef idx="minor">
          <a:schemeClr val="tx1"/>
        </a:fontRef>
      </xdr:style>
    </xdr:cxnSp>
    <xdr:clientData/>
  </xdr:twoCellAnchor>
  <xdr:twoCellAnchor editAs="oneCell">
    <xdr:from>
      <xdr:col>22</xdr:col>
      <xdr:colOff>9525</xdr:colOff>
      <xdr:row>41</xdr:row>
      <xdr:rowOff>9525</xdr:rowOff>
    </xdr:from>
    <xdr:to>
      <xdr:col>29</xdr:col>
      <xdr:colOff>0</xdr:colOff>
      <xdr:row>52</xdr:row>
      <xdr:rowOff>0</xdr:rowOff>
    </xdr:to>
    <xdr:pic>
      <xdr:nvPicPr>
        <xdr:cNvPr id="4841767" name="Picture 1"/>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4011275" y="7904692"/>
          <a:ext cx="5006975" cy="2085975"/>
        </a:xfrm>
        <a:prstGeom prst="rect">
          <a:avLst/>
        </a:prstGeom>
        <a:noFill/>
        <a:ln w="9525">
          <a:solidFill>
            <a:srgbClr val="FF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11</xdr:col>
      <xdr:colOff>152400</xdr:colOff>
      <xdr:row>132</xdr:row>
      <xdr:rowOff>76200</xdr:rowOff>
    </xdr:from>
    <xdr:to>
      <xdr:col>25</xdr:col>
      <xdr:colOff>180975</xdr:colOff>
      <xdr:row>139</xdr:row>
      <xdr:rowOff>123825</xdr:rowOff>
    </xdr:to>
    <xdr:grpSp>
      <xdr:nvGrpSpPr>
        <xdr:cNvPr id="4835560" name="Group 5"/>
        <xdr:cNvGrpSpPr>
          <a:grpSpLocks/>
        </xdr:cNvGrpSpPr>
      </xdr:nvGrpSpPr>
      <xdr:grpSpPr bwMode="auto">
        <a:xfrm>
          <a:off x="11963400" y="25582033"/>
          <a:ext cx="8728075" cy="1381125"/>
          <a:chOff x="11959167" y="25579912"/>
          <a:chExt cx="8732308" cy="1383246"/>
        </a:xfrm>
      </xdr:grpSpPr>
      <xdr:grpSp>
        <xdr:nvGrpSpPr>
          <xdr:cNvPr id="50" name="Group 1"/>
          <xdr:cNvGrpSpPr>
            <a:grpSpLocks/>
          </xdr:cNvGrpSpPr>
        </xdr:nvGrpSpPr>
        <xdr:grpSpPr bwMode="auto">
          <a:xfrm>
            <a:off x="11959167" y="25579912"/>
            <a:ext cx="8732308" cy="1383246"/>
            <a:chOff x="11926181" y="24652941"/>
            <a:chExt cx="8618631" cy="1380952"/>
          </a:xfrm>
          <a:effectLst>
            <a:outerShdw blurRad="50800" dist="38100" dir="2700000" algn="tl" rotWithShape="0">
              <a:prstClr val="black">
                <a:alpha val="40000"/>
              </a:prstClr>
            </a:outerShdw>
          </a:effectLst>
        </xdr:grpSpPr>
        <xdr:pic>
          <xdr:nvPicPr>
            <xdr:cNvPr id="32" name="Picture 31"/>
            <xdr:cNvPicPr>
              <a:picLocks noChangeAspect="1"/>
            </xdr:cNvPicPr>
          </xdr:nvPicPr>
          <xdr:blipFill>
            <a:blip xmlns:r="http://schemas.openxmlformats.org/officeDocument/2006/relationships" r:embed="rId1"/>
            <a:stretch>
              <a:fillRect/>
            </a:stretch>
          </xdr:blipFill>
          <xdr:spPr>
            <a:xfrm>
              <a:off x="11926181" y="24652941"/>
              <a:ext cx="8618631" cy="1380952"/>
            </a:xfrm>
            <a:prstGeom prst="rect">
              <a:avLst/>
            </a:prstGeom>
            <a:ln>
              <a:noFill/>
            </a:ln>
            <a:effectLst>
              <a:outerShdw blurRad="50800" dist="38100" dir="2700000" algn="tl" rotWithShape="0">
                <a:prstClr val="black">
                  <a:alpha val="40000"/>
                </a:prstClr>
              </a:outerShdw>
            </a:effectLst>
          </xdr:spPr>
        </xdr:pic>
        <xdr:sp macro="" textlink="">
          <xdr:nvSpPr>
            <xdr:cNvPr id="34" name="Rectangle 33"/>
            <xdr:cNvSpPr/>
          </xdr:nvSpPr>
          <xdr:spPr>
            <a:xfrm>
              <a:off x="20071261" y="25176750"/>
              <a:ext cx="445138" cy="619047"/>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xnSp macro="">
        <xdr:nvCxnSpPr>
          <xdr:cNvPr id="3" name="Straight Connector 2"/>
          <xdr:cNvCxnSpPr/>
        </xdr:nvCxnSpPr>
        <xdr:spPr>
          <a:xfrm>
            <a:off x="11959167" y="25579912"/>
            <a:ext cx="0" cy="1364167"/>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7</xdr:col>
      <xdr:colOff>447675</xdr:colOff>
      <xdr:row>132</xdr:row>
      <xdr:rowOff>57150</xdr:rowOff>
    </xdr:from>
    <xdr:to>
      <xdr:col>7</xdr:col>
      <xdr:colOff>447675</xdr:colOff>
      <xdr:row>135</xdr:row>
      <xdr:rowOff>180975</xdr:rowOff>
    </xdr:to>
    <xdr:sp macro="" textlink="">
      <xdr:nvSpPr>
        <xdr:cNvPr id="4835561" name="Line 54"/>
        <xdr:cNvSpPr>
          <a:spLocks noChangeShapeType="1"/>
        </xdr:cNvSpPr>
      </xdr:nvSpPr>
      <xdr:spPr bwMode="auto">
        <a:xfrm>
          <a:off x="7667625" y="25555575"/>
          <a:ext cx="0" cy="695325"/>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0</xdr:colOff>
      <xdr:row>0</xdr:row>
      <xdr:rowOff>0</xdr:rowOff>
    </xdr:from>
    <xdr:to>
      <xdr:col>20</xdr:col>
      <xdr:colOff>558667</xdr:colOff>
      <xdr:row>1</xdr:row>
      <xdr:rowOff>137750</xdr:rowOff>
    </xdr:to>
    <xdr:sp macro="" textlink="">
      <xdr:nvSpPr>
        <xdr:cNvPr id="58"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Data History</a:t>
          </a:r>
          <a:endParaRPr lang="en-US" sz="1800" b="1" i="0" u="none" strike="noStrike" baseline="0">
            <a:solidFill>
              <a:srgbClr val="000000"/>
            </a:solidFill>
            <a:latin typeface="+mn-lt"/>
            <a:cs typeface="Angsana New" pitchFamily="18" charset="-34"/>
          </a:endParaRPr>
        </a:p>
      </xdr:txBody>
    </xdr:sp>
    <xdr:clientData/>
  </xdr:twoCellAnchor>
  <xdr:twoCellAnchor>
    <xdr:from>
      <xdr:col>15</xdr:col>
      <xdr:colOff>361950</xdr:colOff>
      <xdr:row>355</xdr:row>
      <xdr:rowOff>114300</xdr:rowOff>
    </xdr:from>
    <xdr:to>
      <xdr:col>29</xdr:col>
      <xdr:colOff>38100</xdr:colOff>
      <xdr:row>368</xdr:row>
      <xdr:rowOff>180975</xdr:rowOff>
    </xdr:to>
    <xdr:pic>
      <xdr:nvPicPr>
        <xdr:cNvPr id="4835563" name="Picture 7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620875" y="68094225"/>
          <a:ext cx="8315325" cy="2543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9719</xdr:colOff>
      <xdr:row>20</xdr:row>
      <xdr:rowOff>165229</xdr:rowOff>
    </xdr:from>
    <xdr:to>
      <xdr:col>10</xdr:col>
      <xdr:colOff>398497</xdr:colOff>
      <xdr:row>29</xdr:row>
      <xdr:rowOff>105922</xdr:rowOff>
    </xdr:to>
    <xdr:sp macro="" textlink="">
      <xdr:nvSpPr>
        <xdr:cNvPr id="101" name="Right Arrow 100"/>
        <xdr:cNvSpPr/>
      </xdr:nvSpPr>
      <xdr:spPr>
        <a:xfrm>
          <a:off x="262423" y="4276530"/>
          <a:ext cx="10419184" cy="1690183"/>
        </a:xfrm>
        <a:prstGeom prst="rightArrow">
          <a:avLst>
            <a:gd name="adj1" fmla="val 50000"/>
            <a:gd name="adj2" fmla="val 113346"/>
          </a:avLst>
        </a:prstGeom>
        <a:solidFill>
          <a:schemeClr val="accent5">
            <a:lumMod val="20000"/>
            <a:lumOff val="80000"/>
          </a:schemeClr>
        </a:solidFill>
        <a:ln w="6350">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2000">
              <a:solidFill>
                <a:sysClr val="windowText" lastClr="000000"/>
              </a:solidFill>
            </a:rPr>
            <a:t>Optional</a:t>
          </a:r>
          <a:r>
            <a:rPr lang="en-GB" sz="2000" baseline="0">
              <a:solidFill>
                <a:sysClr val="windowText" lastClr="000000"/>
              </a:solidFill>
            </a:rPr>
            <a:t>  Arguments  for BDH (from the help pages)</a:t>
          </a:r>
          <a:endParaRPr lang="en-GB" sz="2000">
            <a:solidFill>
              <a:sysClr val="windowText" lastClr="000000"/>
            </a:solidFill>
          </a:endParaRPr>
        </a:p>
      </xdr:txBody>
    </xdr:sp>
    <xdr:clientData/>
  </xdr:twoCellAnchor>
  <xdr:twoCellAnchor>
    <xdr:from>
      <xdr:col>3</xdr:col>
      <xdr:colOff>47216</xdr:colOff>
      <xdr:row>28</xdr:row>
      <xdr:rowOff>136070</xdr:rowOff>
    </xdr:from>
    <xdr:to>
      <xdr:col>6</xdr:col>
      <xdr:colOff>529167</xdr:colOff>
      <xdr:row>40</xdr:row>
      <xdr:rowOff>95250</xdr:rowOff>
    </xdr:to>
    <xdr:sp macro="" textlink="">
      <xdr:nvSpPr>
        <xdr:cNvPr id="102" name="Down Arrow 101"/>
        <xdr:cNvSpPr/>
      </xdr:nvSpPr>
      <xdr:spPr>
        <a:xfrm>
          <a:off x="3105799" y="5544153"/>
          <a:ext cx="3646368" cy="2245180"/>
        </a:xfrm>
        <a:prstGeom prst="downArrow">
          <a:avLst/>
        </a:prstGeom>
        <a:solidFill>
          <a:schemeClr val="accent5">
            <a:lumMod val="20000"/>
            <a:lumOff val="80000"/>
          </a:schemeClr>
        </a:solidFill>
        <a:ln w="6350">
          <a:solidFill>
            <a:schemeClr val="tx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GB" sz="2000">
              <a:solidFill>
                <a:sysClr val="windowText" lastClr="000000"/>
              </a:solidFill>
            </a:rPr>
            <a:t>Examples</a:t>
          </a:r>
          <a:r>
            <a:rPr lang="en-GB" sz="2000" baseline="0">
              <a:solidFill>
                <a:sysClr val="windowText" lastClr="000000"/>
              </a:solidFill>
            </a:rPr>
            <a:t/>
          </a:r>
          <a:br>
            <a:rPr lang="en-GB" sz="2000" baseline="0">
              <a:solidFill>
                <a:sysClr val="windowText" lastClr="000000"/>
              </a:solidFill>
            </a:rPr>
          </a:br>
          <a:r>
            <a:rPr lang="en-GB" sz="2000" baseline="0">
              <a:solidFill>
                <a:sysClr val="windowText" lastClr="000000"/>
              </a:solidFill>
            </a:rPr>
            <a:t>of Optional Arguments</a:t>
          </a:r>
          <a:endParaRPr lang="en-GB" sz="2000">
            <a:solidFill>
              <a:sysClr val="windowText" lastClr="000000"/>
            </a:solidFill>
          </a:endParaRPr>
        </a:p>
      </xdr:txBody>
    </xdr:sp>
    <xdr:clientData/>
  </xdr:twoCellAnchor>
  <xdr:twoCellAnchor>
    <xdr:from>
      <xdr:col>4</xdr:col>
      <xdr:colOff>204112</xdr:colOff>
      <xdr:row>82</xdr:row>
      <xdr:rowOff>97194</xdr:rowOff>
    </xdr:from>
    <xdr:to>
      <xdr:col>4</xdr:col>
      <xdr:colOff>932962</xdr:colOff>
      <xdr:row>82</xdr:row>
      <xdr:rowOff>97194</xdr:rowOff>
    </xdr:to>
    <xdr:cxnSp macro="">
      <xdr:nvCxnSpPr>
        <xdr:cNvPr id="4" name="Straight Arrow Connector 3"/>
        <xdr:cNvCxnSpPr/>
      </xdr:nvCxnSpPr>
      <xdr:spPr>
        <a:xfrm flipH="1">
          <a:off x="3936357" y="16260536"/>
          <a:ext cx="728954"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230160</xdr:colOff>
      <xdr:row>98</xdr:row>
      <xdr:rowOff>103795</xdr:rowOff>
    </xdr:from>
    <xdr:to>
      <xdr:col>4</xdr:col>
      <xdr:colOff>958678</xdr:colOff>
      <xdr:row>98</xdr:row>
      <xdr:rowOff>103795</xdr:rowOff>
    </xdr:to>
    <xdr:cxnSp macro="">
      <xdr:nvCxnSpPr>
        <xdr:cNvPr id="47" name="Straight Arrow Connector 46"/>
        <xdr:cNvCxnSpPr/>
      </xdr:nvCxnSpPr>
      <xdr:spPr>
        <a:xfrm flipH="1">
          <a:off x="3962405" y="19377341"/>
          <a:ext cx="728954"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485775</xdr:colOff>
      <xdr:row>227</xdr:row>
      <xdr:rowOff>114300</xdr:rowOff>
    </xdr:from>
    <xdr:to>
      <xdr:col>1</xdr:col>
      <xdr:colOff>762000</xdr:colOff>
      <xdr:row>227</xdr:row>
      <xdr:rowOff>114300</xdr:rowOff>
    </xdr:to>
    <xdr:cxnSp macro="">
      <xdr:nvCxnSpPr>
        <xdr:cNvPr id="5" name="Straight Arrow Connector 4"/>
        <xdr:cNvCxnSpPr/>
      </xdr:nvCxnSpPr>
      <xdr:spPr>
        <a:xfrm>
          <a:off x="733425" y="43424475"/>
          <a:ext cx="276225"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771525</xdr:colOff>
      <xdr:row>225</xdr:row>
      <xdr:rowOff>0</xdr:rowOff>
    </xdr:from>
    <xdr:to>
      <xdr:col>4</xdr:col>
      <xdr:colOff>200025</xdr:colOff>
      <xdr:row>227</xdr:row>
      <xdr:rowOff>95250</xdr:rowOff>
    </xdr:to>
    <xdr:grpSp>
      <xdr:nvGrpSpPr>
        <xdr:cNvPr id="4835569" name="Group 9"/>
        <xdr:cNvGrpSpPr>
          <a:grpSpLocks/>
        </xdr:cNvGrpSpPr>
      </xdr:nvGrpSpPr>
      <xdr:grpSpPr bwMode="auto">
        <a:xfrm>
          <a:off x="3830108" y="43222333"/>
          <a:ext cx="455084" cy="476250"/>
          <a:chOff x="3839936" y="42930536"/>
          <a:chExt cx="455839" cy="472848"/>
        </a:xfrm>
      </xdr:grpSpPr>
      <xdr:cxnSp macro="">
        <xdr:nvCxnSpPr>
          <xdr:cNvPr id="37" name="Straight Arrow Connector 36"/>
          <xdr:cNvCxnSpPr/>
        </xdr:nvCxnSpPr>
        <xdr:spPr>
          <a:xfrm flipH="1">
            <a:off x="3839936" y="43403384"/>
            <a:ext cx="455839"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8" name="Straight Connector 7"/>
          <xdr:cNvCxnSpPr/>
        </xdr:nvCxnSpPr>
        <xdr:spPr>
          <a:xfrm flipV="1">
            <a:off x="4295775" y="42930536"/>
            <a:ext cx="0" cy="472848"/>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481850</xdr:colOff>
      <xdr:row>225</xdr:row>
      <xdr:rowOff>29987</xdr:rowOff>
    </xdr:from>
    <xdr:to>
      <xdr:col>1</xdr:col>
      <xdr:colOff>481850</xdr:colOff>
      <xdr:row>227</xdr:row>
      <xdr:rowOff>118433</xdr:rowOff>
    </xdr:to>
    <xdr:cxnSp macro="">
      <xdr:nvCxnSpPr>
        <xdr:cNvPr id="44" name="Straight Connector 43"/>
        <xdr:cNvCxnSpPr/>
      </xdr:nvCxnSpPr>
      <xdr:spPr>
        <a:xfrm flipV="1">
          <a:off x="728695" y="42959564"/>
          <a:ext cx="0" cy="469446"/>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1123950</xdr:colOff>
      <xdr:row>258</xdr:row>
      <xdr:rowOff>38100</xdr:rowOff>
    </xdr:from>
    <xdr:to>
      <xdr:col>3</xdr:col>
      <xdr:colOff>523875</xdr:colOff>
      <xdr:row>263</xdr:row>
      <xdr:rowOff>95250</xdr:rowOff>
    </xdr:to>
    <xdr:grpSp>
      <xdr:nvGrpSpPr>
        <xdr:cNvPr id="4835571" name="Group 45"/>
        <xdr:cNvGrpSpPr>
          <a:grpSpLocks/>
        </xdr:cNvGrpSpPr>
      </xdr:nvGrpSpPr>
      <xdr:grpSpPr bwMode="auto">
        <a:xfrm>
          <a:off x="2880783" y="49546933"/>
          <a:ext cx="701675" cy="1009650"/>
          <a:chOff x="3839936" y="42930536"/>
          <a:chExt cx="455839" cy="472848"/>
        </a:xfrm>
      </xdr:grpSpPr>
      <xdr:cxnSp macro="">
        <xdr:nvCxnSpPr>
          <xdr:cNvPr id="48" name="Straight Arrow Connector 47"/>
          <xdr:cNvCxnSpPr/>
        </xdr:nvCxnSpPr>
        <xdr:spPr>
          <a:xfrm flipH="1">
            <a:off x="3839936" y="43403384"/>
            <a:ext cx="455839"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xnSp macro="">
        <xdr:nvCxnSpPr>
          <xdr:cNvPr id="49" name="Straight Connector 48"/>
          <xdr:cNvCxnSpPr/>
        </xdr:nvCxnSpPr>
        <xdr:spPr>
          <a:xfrm flipV="1">
            <a:off x="4295775" y="42930536"/>
            <a:ext cx="0" cy="468387"/>
          </a:xfrm>
          <a:prstGeom prst="line">
            <a:avLst/>
          </a:prstGeom>
          <a:ln w="6350">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3</xdr:col>
      <xdr:colOff>313760</xdr:colOff>
      <xdr:row>98</xdr:row>
      <xdr:rowOff>14088</xdr:rowOff>
    </xdr:from>
    <xdr:to>
      <xdr:col>3</xdr:col>
      <xdr:colOff>590617</xdr:colOff>
      <xdr:row>99</xdr:row>
      <xdr:rowOff>135039</xdr:rowOff>
    </xdr:to>
    <xdr:sp macro="" textlink="">
      <xdr:nvSpPr>
        <xdr:cNvPr id="52" name="Curved Down Arrow 51"/>
        <xdr:cNvSpPr/>
      </xdr:nvSpPr>
      <xdr:spPr>
        <a:xfrm rot="16200000">
          <a:off x="3355669" y="18767620"/>
          <a:ext cx="311451" cy="276857"/>
        </a:xfrm>
        <a:prstGeom prst="curvedDownArrow">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3</xdr:col>
      <xdr:colOff>298070</xdr:colOff>
      <xdr:row>81</xdr:row>
      <xdr:rowOff>56027</xdr:rowOff>
    </xdr:from>
    <xdr:to>
      <xdr:col>3</xdr:col>
      <xdr:colOff>574927</xdr:colOff>
      <xdr:row>82</xdr:row>
      <xdr:rowOff>168085</xdr:rowOff>
    </xdr:to>
    <xdr:sp macro="" textlink="">
      <xdr:nvSpPr>
        <xdr:cNvPr id="53" name="Curved Down Arrow 52"/>
        <xdr:cNvSpPr/>
      </xdr:nvSpPr>
      <xdr:spPr>
        <a:xfrm rot="16200000" flipH="1">
          <a:off x="3344426" y="15566612"/>
          <a:ext cx="302558" cy="276857"/>
        </a:xfrm>
        <a:prstGeom prst="curvedDownArrow">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6</xdr:col>
      <xdr:colOff>22404</xdr:colOff>
      <xdr:row>95</xdr:row>
      <xdr:rowOff>179294</xdr:rowOff>
    </xdr:from>
    <xdr:to>
      <xdr:col>8</xdr:col>
      <xdr:colOff>212912</xdr:colOff>
      <xdr:row>97</xdr:row>
      <xdr:rowOff>11205</xdr:rowOff>
    </xdr:to>
    <xdr:sp macro="" textlink="">
      <xdr:nvSpPr>
        <xdr:cNvPr id="12" name="TextBox 11"/>
        <xdr:cNvSpPr txBox="1"/>
      </xdr:nvSpPr>
      <xdr:spPr>
        <a:xfrm>
          <a:off x="6241669" y="18344029"/>
          <a:ext cx="2229978" cy="212911"/>
        </a:xfrm>
        <a:prstGeom prst="rect">
          <a:avLst/>
        </a:prstGeom>
        <a:no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a:p>
      </xdr:txBody>
    </xdr:sp>
    <xdr:clientData/>
  </xdr:twoCellAnchor>
  <xdr:twoCellAnchor>
    <xdr:from>
      <xdr:col>11</xdr:col>
      <xdr:colOff>38099</xdr:colOff>
      <xdr:row>21</xdr:row>
      <xdr:rowOff>47625</xdr:rowOff>
    </xdr:from>
    <xdr:to>
      <xdr:col>24</xdr:col>
      <xdr:colOff>571499</xdr:colOff>
      <xdr:row>88</xdr:row>
      <xdr:rowOff>180975</xdr:rowOff>
    </xdr:to>
    <xdr:pic>
      <xdr:nvPicPr>
        <xdr:cNvPr id="2097666" name="Picture 2"/>
        <xdr:cNvPicPr>
          <a:picLocks noChangeAspect="1"/>
        </xdr:cNvPicPr>
      </xdr:nvPicPr>
      <xdr:blipFill>
        <a:blip xmlns:r="http://schemas.openxmlformats.org/officeDocument/2006/relationships" r:embed="rId3"/>
        <a:srcRect/>
        <a:stretch>
          <a:fillRect/>
        </a:stretch>
      </xdr:blipFill>
      <xdr:spPr bwMode="auto">
        <a:xfrm>
          <a:off x="11839574" y="4114800"/>
          <a:ext cx="8562975" cy="12906375"/>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704855</xdr:colOff>
      <xdr:row>12</xdr:row>
      <xdr:rowOff>141814</xdr:rowOff>
    </xdr:from>
    <xdr:to>
      <xdr:col>24</xdr:col>
      <xdr:colOff>366188</xdr:colOff>
      <xdr:row>21</xdr:row>
      <xdr:rowOff>17989</xdr:rowOff>
    </xdr:to>
    <xdr:grpSp>
      <xdr:nvGrpSpPr>
        <xdr:cNvPr id="46" name="Group 6"/>
        <xdr:cNvGrpSpPr>
          <a:grpSpLocks/>
        </xdr:cNvGrpSpPr>
      </xdr:nvGrpSpPr>
      <xdr:grpSpPr bwMode="auto">
        <a:xfrm>
          <a:off x="11700938" y="2586564"/>
          <a:ext cx="8561917" cy="1590675"/>
          <a:chOff x="11849100" y="1990725"/>
          <a:chExt cx="9036749" cy="1887726"/>
        </a:xfrm>
        <a:effectLst>
          <a:outerShdw blurRad="50800" dist="38100" dir="2700000" algn="tl" rotWithShape="0">
            <a:prstClr val="black">
              <a:alpha val="40000"/>
            </a:prstClr>
          </a:outerShdw>
        </a:effectLst>
      </xdr:grpSpPr>
      <xdr:grpSp>
        <xdr:nvGrpSpPr>
          <xdr:cNvPr id="4835586" name="Group 5"/>
          <xdr:cNvGrpSpPr>
            <a:grpSpLocks/>
          </xdr:cNvGrpSpPr>
        </xdr:nvGrpSpPr>
        <xdr:grpSpPr bwMode="auto">
          <a:xfrm>
            <a:off x="11849100" y="1990725"/>
            <a:ext cx="9036749" cy="1548615"/>
            <a:chOff x="11849100" y="1990725"/>
            <a:chExt cx="9036749" cy="1548615"/>
          </a:xfrm>
        </xdr:grpSpPr>
        <xdr:pic>
          <xdr:nvPicPr>
            <xdr:cNvPr id="41" name="Picture 40"/>
            <xdr:cNvPicPr>
              <a:picLocks noChangeAspect="1"/>
            </xdr:cNvPicPr>
          </xdr:nvPicPr>
          <xdr:blipFill>
            <a:blip xmlns:r="http://schemas.openxmlformats.org/officeDocument/2006/relationships" r:embed="rId1"/>
            <a:stretch>
              <a:fillRect/>
            </a:stretch>
          </xdr:blipFill>
          <xdr:spPr>
            <a:xfrm>
              <a:off x="11989845" y="1836240"/>
              <a:ext cx="8213500" cy="1548614"/>
            </a:xfrm>
            <a:prstGeom prst="rect">
              <a:avLst/>
            </a:prstGeom>
            <a:ln>
              <a:solidFill>
                <a:schemeClr val="bg1">
                  <a:lumMod val="65000"/>
                </a:schemeClr>
              </a:solidFill>
            </a:ln>
            <a:effectLst>
              <a:outerShdw blurRad="50800" dist="38100" dir="2700000" algn="tl" rotWithShape="0">
                <a:prstClr val="black">
                  <a:alpha val="40000"/>
                </a:prstClr>
              </a:outerShdw>
            </a:effectLst>
          </xdr:spPr>
        </xdr:pic>
        <xdr:sp macro="" textlink="">
          <xdr:nvSpPr>
            <xdr:cNvPr id="42" name="Rectangle 41"/>
            <xdr:cNvSpPr/>
          </xdr:nvSpPr>
          <xdr:spPr>
            <a:xfrm>
              <a:off x="18665199" y="2424035"/>
              <a:ext cx="462449" cy="599099"/>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xnSp macro="">
        <xdr:nvCxnSpPr>
          <xdr:cNvPr id="119" name="Straight Arrow Connector 118"/>
          <xdr:cNvCxnSpPr/>
        </xdr:nvCxnSpPr>
        <xdr:spPr bwMode="auto">
          <a:xfrm>
            <a:off x="19127648" y="2537073"/>
            <a:ext cx="0" cy="1186894"/>
          </a:xfrm>
          <a:prstGeom prst="straightConnector1">
            <a:avLst/>
          </a:prstGeom>
          <a:ln w="19050">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11</xdr:col>
      <xdr:colOff>57148</xdr:colOff>
      <xdr:row>24</xdr:row>
      <xdr:rowOff>85725</xdr:rowOff>
    </xdr:from>
    <xdr:to>
      <xdr:col>13</xdr:col>
      <xdr:colOff>593480</xdr:colOff>
      <xdr:row>25</xdr:row>
      <xdr:rowOff>85724</xdr:rowOff>
    </xdr:to>
    <xdr:sp macro="" textlink="">
      <xdr:nvSpPr>
        <xdr:cNvPr id="45" name="Rectangle 44"/>
        <xdr:cNvSpPr/>
      </xdr:nvSpPr>
      <xdr:spPr>
        <a:xfrm>
          <a:off x="11853494" y="4723667"/>
          <a:ext cx="1752601" cy="190499"/>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5</xdr:col>
      <xdr:colOff>1066800</xdr:colOff>
      <xdr:row>77</xdr:row>
      <xdr:rowOff>0</xdr:rowOff>
    </xdr:from>
    <xdr:to>
      <xdr:col>8</xdr:col>
      <xdr:colOff>238125</xdr:colOff>
      <xdr:row>88</xdr:row>
      <xdr:rowOff>0</xdr:rowOff>
    </xdr:to>
    <xdr:pic>
      <xdr:nvPicPr>
        <xdr:cNvPr id="10" name="Picture 9"/>
        <xdr:cNvPicPr>
          <a:picLocks noChangeAspect="1"/>
        </xdr:cNvPicPr>
      </xdr:nvPicPr>
      <xdr:blipFill>
        <a:blip xmlns:r="http://schemas.openxmlformats.org/officeDocument/2006/relationships" r:embed="rId4"/>
        <a:stretch>
          <a:fillRect/>
        </a:stretch>
      </xdr:blipFill>
      <xdr:spPr>
        <a:xfrm>
          <a:off x="6200775" y="14735175"/>
          <a:ext cx="2286000" cy="2095500"/>
        </a:xfrm>
        <a:prstGeom prst="rect">
          <a:avLst/>
        </a:prstGeom>
        <a:ln>
          <a:noFill/>
        </a:ln>
        <a:effectLst>
          <a:outerShdw blurRad="50800" dist="38100" dir="2700000" algn="tl" rotWithShape="0">
            <a:prstClr val="black">
              <a:alpha val="40000"/>
            </a:prstClr>
          </a:outerShdw>
        </a:effectLst>
      </xdr:spPr>
    </xdr:pic>
    <xdr:clientData/>
  </xdr:twoCellAnchor>
  <xdr:twoCellAnchor>
    <xdr:from>
      <xdr:col>5</xdr:col>
      <xdr:colOff>1066800</xdr:colOff>
      <xdr:row>91</xdr:row>
      <xdr:rowOff>9525</xdr:rowOff>
    </xdr:from>
    <xdr:to>
      <xdr:col>8</xdr:col>
      <xdr:colOff>238125</xdr:colOff>
      <xdr:row>102</xdr:row>
      <xdr:rowOff>9525</xdr:rowOff>
    </xdr:to>
    <xdr:pic>
      <xdr:nvPicPr>
        <xdr:cNvPr id="60" name="Picture 59"/>
        <xdr:cNvPicPr>
          <a:picLocks noChangeAspect="1"/>
        </xdr:cNvPicPr>
      </xdr:nvPicPr>
      <xdr:blipFill>
        <a:blip xmlns:r="http://schemas.openxmlformats.org/officeDocument/2006/relationships" r:embed="rId4"/>
        <a:stretch>
          <a:fillRect/>
        </a:stretch>
      </xdr:blipFill>
      <xdr:spPr>
        <a:xfrm>
          <a:off x="6200775" y="17516475"/>
          <a:ext cx="2286000" cy="2095500"/>
        </a:xfrm>
        <a:prstGeom prst="rect">
          <a:avLst/>
        </a:prstGeom>
        <a:ln>
          <a:noFill/>
        </a:ln>
        <a:effectLst>
          <a:outerShdw blurRad="50800" dist="38100" dir="2700000" algn="tl" rotWithShape="0">
            <a:prstClr val="black">
              <a:alpha val="40000"/>
            </a:prstClr>
          </a:outerShdw>
        </a:effectLst>
      </xdr:spPr>
    </xdr:pic>
    <xdr:clientData/>
  </xdr:twoCellAnchor>
  <xdr:twoCellAnchor>
    <xdr:from>
      <xdr:col>7</xdr:col>
      <xdr:colOff>466725</xdr:colOff>
      <xdr:row>96</xdr:row>
      <xdr:rowOff>90258</xdr:rowOff>
    </xdr:from>
    <xdr:to>
      <xdr:col>7</xdr:col>
      <xdr:colOff>714375</xdr:colOff>
      <xdr:row>97</xdr:row>
      <xdr:rowOff>171449</xdr:rowOff>
    </xdr:to>
    <xdr:sp macro="" textlink="">
      <xdr:nvSpPr>
        <xdr:cNvPr id="62" name="Curved Down Arrow 61"/>
        <xdr:cNvSpPr/>
      </xdr:nvSpPr>
      <xdr:spPr>
        <a:xfrm rot="16200000">
          <a:off x="7655604" y="18580779"/>
          <a:ext cx="271691" cy="247650"/>
        </a:xfrm>
        <a:prstGeom prst="curvedDownArrow">
          <a:avLst/>
        </a:prstGeom>
        <a:solidFill>
          <a:srgbClr val="00CCFF"/>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7</xdr:col>
      <xdr:colOff>466725</xdr:colOff>
      <xdr:row>82</xdr:row>
      <xdr:rowOff>71209</xdr:rowOff>
    </xdr:from>
    <xdr:to>
      <xdr:col>7</xdr:col>
      <xdr:colOff>714375</xdr:colOff>
      <xdr:row>83</xdr:row>
      <xdr:rowOff>152400</xdr:rowOff>
    </xdr:to>
    <xdr:sp macro="" textlink="">
      <xdr:nvSpPr>
        <xdr:cNvPr id="63" name="Curved Down Arrow 62"/>
        <xdr:cNvSpPr/>
      </xdr:nvSpPr>
      <xdr:spPr>
        <a:xfrm rot="16200000">
          <a:off x="7655604" y="15780430"/>
          <a:ext cx="271691" cy="247650"/>
        </a:xfrm>
        <a:prstGeom prst="curvedDownArrow">
          <a:avLst/>
        </a:prstGeom>
        <a:solidFill>
          <a:srgbClr val="00CCFF"/>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twoCellAnchor>
    <xdr:from>
      <xdr:col>11</xdr:col>
      <xdr:colOff>142875</xdr:colOff>
      <xdr:row>138</xdr:row>
      <xdr:rowOff>95250</xdr:rowOff>
    </xdr:from>
    <xdr:to>
      <xdr:col>23</xdr:col>
      <xdr:colOff>276225</xdr:colOff>
      <xdr:row>207</xdr:row>
      <xdr:rowOff>142875</xdr:rowOff>
    </xdr:to>
    <xdr:grpSp>
      <xdr:nvGrpSpPr>
        <xdr:cNvPr id="4835582" name="Group 2"/>
        <xdr:cNvGrpSpPr>
          <a:grpSpLocks/>
        </xdr:cNvGrpSpPr>
      </xdr:nvGrpSpPr>
      <xdr:grpSpPr bwMode="auto">
        <a:xfrm>
          <a:off x="11953875" y="26744083"/>
          <a:ext cx="7605183" cy="13192125"/>
          <a:chOff x="11920017" y="25816466"/>
          <a:chExt cx="7510983" cy="13185044"/>
        </a:xfrm>
      </xdr:grpSpPr>
      <xdr:pic>
        <xdr:nvPicPr>
          <xdr:cNvPr id="33" name="Picture 32"/>
          <xdr:cNvPicPr>
            <a:picLocks noChangeAspect="1"/>
          </xdr:cNvPicPr>
        </xdr:nvPicPr>
        <xdr:blipFill>
          <a:blip xmlns:r="http://schemas.openxmlformats.org/officeDocument/2006/relationships" r:embed="rId5"/>
          <a:stretch>
            <a:fillRect/>
          </a:stretch>
        </xdr:blipFill>
        <xdr:spPr>
          <a:xfrm>
            <a:off x="11920017" y="26311500"/>
            <a:ext cx="7510983" cy="12690010"/>
          </a:xfrm>
          <a:prstGeom prst="rect">
            <a:avLst/>
          </a:prstGeom>
          <a:ln>
            <a:noFill/>
          </a:ln>
          <a:effectLst>
            <a:outerShdw blurRad="50800" dist="38100" dir="2700000" algn="tl" rotWithShape="0">
              <a:prstClr val="black">
                <a:alpha val="40000"/>
              </a:prstClr>
            </a:outerShdw>
          </a:effectLst>
        </xdr:spPr>
      </xdr:pic>
      <xdr:sp macro="" textlink="">
        <xdr:nvSpPr>
          <xdr:cNvPr id="35" name="Rectangle 34"/>
          <xdr:cNvSpPr/>
        </xdr:nvSpPr>
        <xdr:spPr>
          <a:xfrm>
            <a:off x="16987326" y="29862418"/>
            <a:ext cx="776672" cy="856790"/>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36" name="Elbow Connector 35"/>
          <xdr:cNvCxnSpPr/>
        </xdr:nvCxnSpPr>
        <xdr:spPr>
          <a:xfrm rot="10800000" flipV="1">
            <a:off x="13198684" y="25816466"/>
            <a:ext cx="5976583" cy="1075747"/>
          </a:xfrm>
          <a:prstGeom prst="bentConnector3">
            <a:avLst>
              <a:gd name="adj1" fmla="val 330"/>
            </a:avLst>
          </a:prstGeom>
          <a:ln w="28575">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0</xdr:row>
      <xdr:rowOff>0</xdr:rowOff>
    </xdr:from>
    <xdr:to>
      <xdr:col>15</xdr:col>
      <xdr:colOff>336417</xdr:colOff>
      <xdr:row>1</xdr:row>
      <xdr:rowOff>137750</xdr:rowOff>
    </xdr:to>
    <xdr:sp macro="" textlink="">
      <xdr:nvSpPr>
        <xdr:cNvPr id="3"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Data Set (Bulk Data)</a:t>
          </a:r>
          <a:endParaRPr lang="en-US" sz="1800" b="1" i="0" u="none" strike="noStrike" baseline="0">
            <a:solidFill>
              <a:srgbClr val="000000"/>
            </a:solidFill>
            <a:latin typeface="+mn-lt"/>
            <a:cs typeface="Angsana New" pitchFamily="18" charset="-34"/>
          </a:endParaRPr>
        </a:p>
      </xdr:txBody>
    </xdr:sp>
    <xdr:clientData/>
  </xdr:twoCellAnchor>
  <xdr:twoCellAnchor>
    <xdr:from>
      <xdr:col>2</xdr:col>
      <xdr:colOff>342900</xdr:colOff>
      <xdr:row>21</xdr:row>
      <xdr:rowOff>19050</xdr:rowOff>
    </xdr:from>
    <xdr:to>
      <xdr:col>2</xdr:col>
      <xdr:colOff>590551</xdr:colOff>
      <xdr:row>21</xdr:row>
      <xdr:rowOff>142875</xdr:rowOff>
    </xdr:to>
    <xdr:cxnSp macro="">
      <xdr:nvCxnSpPr>
        <xdr:cNvPr id="17" name="Straight Arrow Connector 16"/>
        <xdr:cNvCxnSpPr/>
      </xdr:nvCxnSpPr>
      <xdr:spPr>
        <a:xfrm rot="10800000" flipH="1">
          <a:off x="2228850" y="4095750"/>
          <a:ext cx="247651" cy="123825"/>
        </a:xfrm>
        <a:prstGeom prst="straightConnector1">
          <a:avLst/>
        </a:prstGeom>
        <a:ln w="6350">
          <a:solidFill>
            <a:schemeClr val="tx2">
              <a:lumMod val="60000"/>
              <a:lumOff val="40000"/>
            </a:schemeClr>
          </a:solidFill>
          <a:tailEnd type="arrow"/>
        </a:ln>
        <a:scene3d>
          <a:camera prst="orthographicFront">
            <a:rot lat="0" lon="16200000" rev="0"/>
          </a:camera>
          <a:lightRig rig="threePt" dir="t"/>
        </a:scene3d>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970360</xdr:colOff>
      <xdr:row>107</xdr:row>
      <xdr:rowOff>42862</xdr:rowOff>
    </xdr:from>
    <xdr:to>
      <xdr:col>2</xdr:col>
      <xdr:colOff>970360</xdr:colOff>
      <xdr:row>109</xdr:row>
      <xdr:rowOff>21431</xdr:rowOff>
    </xdr:to>
    <xdr:cxnSp macro="">
      <xdr:nvCxnSpPr>
        <xdr:cNvPr id="9" name="Straight Arrow Connector 8"/>
        <xdr:cNvCxnSpPr/>
      </xdr:nvCxnSpPr>
      <xdr:spPr>
        <a:xfrm flipV="1">
          <a:off x="2837260" y="20769262"/>
          <a:ext cx="0" cy="378619"/>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400049</xdr:colOff>
      <xdr:row>83</xdr:row>
      <xdr:rowOff>139697</xdr:rowOff>
    </xdr:from>
    <xdr:to>
      <xdr:col>4</xdr:col>
      <xdr:colOff>889000</xdr:colOff>
      <xdr:row>86</xdr:row>
      <xdr:rowOff>1</xdr:rowOff>
    </xdr:to>
    <xdr:sp macro="" textlink="">
      <xdr:nvSpPr>
        <xdr:cNvPr id="11" name="TextBox 10"/>
        <xdr:cNvSpPr txBox="1"/>
      </xdr:nvSpPr>
      <xdr:spPr>
        <a:xfrm>
          <a:off x="4315882" y="16088780"/>
          <a:ext cx="1960035" cy="4635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ysClr val="windowText" lastClr="000000"/>
              </a:solidFill>
            </a:rPr>
            <a:t>Must be in CAPITAL</a:t>
          </a:r>
          <a:r>
            <a:rPr lang="en-GB" sz="1100" b="1" baseline="0">
              <a:solidFill>
                <a:sysClr val="windowText" lastClr="000000"/>
              </a:solidFill>
            </a:rPr>
            <a:t> letters.  </a:t>
          </a:r>
          <a:r>
            <a:rPr lang="en-GB" sz="1100" baseline="0">
              <a:solidFill>
                <a:sysClr val="windowText" lastClr="000000"/>
              </a:solidFill>
            </a:rPr>
            <a:t>Country code under CDR &lt;go&gt;</a:t>
          </a:r>
          <a:endParaRPr lang="en-GB" sz="1100">
            <a:solidFill>
              <a:sysClr val="windowText" lastClr="000000"/>
            </a:solidFill>
          </a:endParaRPr>
        </a:p>
      </xdr:txBody>
    </xdr:sp>
    <xdr:clientData/>
  </xdr:twoCellAnchor>
  <xdr:twoCellAnchor>
    <xdr:from>
      <xdr:col>3</xdr:col>
      <xdr:colOff>66675</xdr:colOff>
      <xdr:row>84</xdr:row>
      <xdr:rowOff>95250</xdr:rowOff>
    </xdr:from>
    <xdr:to>
      <xdr:col>3</xdr:col>
      <xdr:colOff>438150</xdr:colOff>
      <xdr:row>84</xdr:row>
      <xdr:rowOff>95250</xdr:rowOff>
    </xdr:to>
    <xdr:cxnSp macro="">
      <xdr:nvCxnSpPr>
        <xdr:cNvPr id="14" name="Straight Arrow Connector 13"/>
        <xdr:cNvCxnSpPr/>
      </xdr:nvCxnSpPr>
      <xdr:spPr>
        <a:xfrm flipH="1">
          <a:off x="3981450" y="16202025"/>
          <a:ext cx="371475" cy="0"/>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7</xdr:col>
      <xdr:colOff>243415</xdr:colOff>
      <xdr:row>66</xdr:row>
      <xdr:rowOff>10583</xdr:rowOff>
    </xdr:from>
    <xdr:to>
      <xdr:col>12</xdr:col>
      <xdr:colOff>764307</xdr:colOff>
      <xdr:row>73</xdr:row>
      <xdr:rowOff>48512</xdr:rowOff>
    </xdr:to>
    <xdr:pic>
      <xdr:nvPicPr>
        <xdr:cNvPr id="2" name="Picture 1"/>
        <xdr:cNvPicPr>
          <a:picLocks noChangeAspect="1"/>
        </xdr:cNvPicPr>
      </xdr:nvPicPr>
      <xdr:blipFill>
        <a:blip xmlns:r="http://schemas.openxmlformats.org/officeDocument/2006/relationships" r:embed="rId1"/>
        <a:stretch>
          <a:fillRect/>
        </a:stretch>
      </xdr:blipFill>
      <xdr:spPr>
        <a:xfrm>
          <a:off x="8889998" y="12700000"/>
          <a:ext cx="6923809" cy="1371429"/>
        </a:xfrm>
        <a:prstGeom prst="rect">
          <a:avLst/>
        </a:prstGeom>
        <a:ln>
          <a:solidFill>
            <a:schemeClr val="tx1"/>
          </a:solidFill>
        </a:ln>
        <a:effectLst>
          <a:outerShdw blurRad="50800" dist="38100" dir="2700000" algn="tl" rotWithShape="0">
            <a:prstClr val="black">
              <a:alpha val="40000"/>
            </a:prstClr>
          </a:outerShdw>
        </a:effec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12</xdr:col>
      <xdr:colOff>0</xdr:colOff>
      <xdr:row>155</xdr:row>
      <xdr:rowOff>76200</xdr:rowOff>
    </xdr:from>
    <xdr:to>
      <xdr:col>16</xdr:col>
      <xdr:colOff>9525</xdr:colOff>
      <xdr:row>163</xdr:row>
      <xdr:rowOff>180975</xdr:rowOff>
    </xdr:to>
    <xdr:graphicFrame macro="">
      <xdr:nvGraphicFramePr>
        <xdr:cNvPr id="4667277" name="Chart 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254272</xdr:colOff>
      <xdr:row>145</xdr:row>
      <xdr:rowOff>111503</xdr:rowOff>
    </xdr:from>
    <xdr:to>
      <xdr:col>16</xdr:col>
      <xdr:colOff>742461</xdr:colOff>
      <xdr:row>145</xdr:row>
      <xdr:rowOff>111503</xdr:rowOff>
    </xdr:to>
    <xdr:cxnSp macro="">
      <xdr:nvCxnSpPr>
        <xdr:cNvPr id="5" name="Straight Connector 4"/>
        <xdr:cNvCxnSpPr/>
      </xdr:nvCxnSpPr>
      <xdr:spPr>
        <a:xfrm>
          <a:off x="24606522" y="28411336"/>
          <a:ext cx="488189" cy="0"/>
        </a:xfrm>
        <a:prstGeom prst="line">
          <a:avLst/>
        </a:prstGeom>
        <a:ln w="28575">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257170</xdr:colOff>
      <xdr:row>147</xdr:row>
      <xdr:rowOff>112446</xdr:rowOff>
    </xdr:from>
    <xdr:to>
      <xdr:col>16</xdr:col>
      <xdr:colOff>748561</xdr:colOff>
      <xdr:row>147</xdr:row>
      <xdr:rowOff>112446</xdr:rowOff>
    </xdr:to>
    <xdr:cxnSp macro="">
      <xdr:nvCxnSpPr>
        <xdr:cNvPr id="16" name="Straight Connector 15"/>
        <xdr:cNvCxnSpPr/>
      </xdr:nvCxnSpPr>
      <xdr:spPr>
        <a:xfrm>
          <a:off x="24609420" y="28793279"/>
          <a:ext cx="491391" cy="0"/>
        </a:xfrm>
        <a:prstGeom prst="line">
          <a:avLst/>
        </a:prstGeom>
        <a:ln w="28575">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245055</xdr:colOff>
      <xdr:row>159</xdr:row>
      <xdr:rowOff>121290</xdr:rowOff>
    </xdr:from>
    <xdr:to>
      <xdr:col>16</xdr:col>
      <xdr:colOff>736446</xdr:colOff>
      <xdr:row>159</xdr:row>
      <xdr:rowOff>121290</xdr:rowOff>
    </xdr:to>
    <xdr:cxnSp macro="">
      <xdr:nvCxnSpPr>
        <xdr:cNvPr id="18" name="Straight Connector 17"/>
        <xdr:cNvCxnSpPr/>
      </xdr:nvCxnSpPr>
      <xdr:spPr>
        <a:xfrm>
          <a:off x="24597305" y="31109290"/>
          <a:ext cx="491391" cy="0"/>
        </a:xfrm>
        <a:prstGeom prst="line">
          <a:avLst/>
        </a:prstGeom>
        <a:ln w="28575">
          <a:solidFill>
            <a:schemeClr val="tx1"/>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123823</xdr:colOff>
      <xdr:row>15</xdr:row>
      <xdr:rowOff>9524</xdr:rowOff>
    </xdr:from>
    <xdr:to>
      <xdr:col>2</xdr:col>
      <xdr:colOff>1927412</xdr:colOff>
      <xdr:row>23</xdr:row>
      <xdr:rowOff>9525</xdr:rowOff>
    </xdr:to>
    <xdr:sp macro="" textlink="">
      <xdr:nvSpPr>
        <xdr:cNvPr id="20" name="TextBox 19"/>
        <xdr:cNvSpPr txBox="1"/>
      </xdr:nvSpPr>
      <xdr:spPr>
        <a:xfrm>
          <a:off x="2622735" y="3001495"/>
          <a:ext cx="1803589" cy="1580030"/>
        </a:xfrm>
        <a:prstGeom prst="rect">
          <a:avLst/>
        </a:prstGeom>
        <a:solidFill>
          <a:sysClr val="window" lastClr="FFFFFF"/>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0" i="0" u="none" strike="noStrike">
              <a:solidFill>
                <a:srgbClr val="0070C0"/>
              </a:solidFill>
              <a:effectLst/>
              <a:latin typeface="+mn-lt"/>
              <a:ea typeface="+mn-ea"/>
              <a:cs typeface="+mn-cs"/>
            </a:rPr>
            <a:t>Curve Types</a:t>
          </a:r>
          <a:r>
            <a:rPr lang="en-GB">
              <a:solidFill>
                <a:srgbClr val="0070C0"/>
              </a:solidFill>
            </a:rPr>
            <a:t> </a:t>
          </a:r>
          <a:r>
            <a:rPr lang="en-GB"/>
            <a:t/>
          </a:r>
          <a:br>
            <a:rPr lang="en-GB"/>
          </a:br>
          <a:r>
            <a:rPr lang="en-GB" sz="1100" b="0" i="0" u="none" strike="noStrike">
              <a:solidFill>
                <a:schemeClr val="dk1"/>
              </a:solidFill>
              <a:effectLst/>
              <a:latin typeface="+mn-lt"/>
              <a:ea typeface="+mn-ea"/>
              <a:cs typeface="+mn-cs"/>
            </a:rPr>
            <a:t>SW: Swap</a:t>
          </a:r>
          <a:r>
            <a:rPr lang="en-GB"/>
            <a:t/>
          </a:r>
          <a:br>
            <a:rPr lang="en-GB"/>
          </a:br>
          <a:r>
            <a:rPr lang="en-GB" sz="1100" b="0" i="0">
              <a:solidFill>
                <a:schemeClr val="dk1"/>
              </a:solidFill>
              <a:effectLst/>
              <a:latin typeface="+mn-lt"/>
              <a:ea typeface="+mn-ea"/>
              <a:cs typeface="+mn-cs"/>
            </a:rPr>
            <a:t>GT: Sovereign Curve</a:t>
          </a:r>
          <a:r>
            <a:rPr lang="en-GB" sz="1100">
              <a:solidFill>
                <a:schemeClr val="dk1"/>
              </a:solidFill>
              <a:effectLst/>
              <a:latin typeface="+mn-lt"/>
              <a:ea typeface="+mn-ea"/>
              <a:cs typeface="+mn-cs"/>
            </a:rPr>
            <a:t> </a:t>
          </a:r>
          <a:r>
            <a:rPr lang="en-GB"/>
            <a:t/>
          </a:r>
          <a:br>
            <a:rPr lang="en-GB"/>
          </a:br>
          <a:r>
            <a:rPr lang="en-GB" sz="1100" b="0" i="0" u="none" strike="noStrike">
              <a:solidFill>
                <a:schemeClr val="dk1"/>
              </a:solidFill>
              <a:effectLst/>
              <a:latin typeface="+mn-lt"/>
              <a:ea typeface="+mn-ea"/>
              <a:cs typeface="+mn-cs"/>
            </a:rPr>
            <a:t>CF: Fair Market Curve</a:t>
          </a:r>
          <a:r>
            <a:rPr lang="en-GB"/>
            <a:t> </a:t>
          </a:r>
          <a:br>
            <a:rPr lang="en-GB"/>
          </a:br>
          <a:r>
            <a:rPr lang="en-GB"/>
            <a:t>C</a:t>
          </a:r>
          <a:r>
            <a:rPr lang="en-GB" sz="1100" b="0" i="0" u="none" strike="noStrike">
              <a:solidFill>
                <a:schemeClr val="dk1"/>
              </a:solidFill>
              <a:effectLst/>
              <a:latin typeface="+mn-lt"/>
              <a:ea typeface="+mn-ea"/>
              <a:cs typeface="+mn-cs"/>
            </a:rPr>
            <a:t>D: CDS Curve</a:t>
          </a:r>
          <a:r>
            <a:rPr lang="en-GB"/>
            <a:t> </a:t>
          </a:r>
          <a:br>
            <a:rPr lang="en-GB"/>
          </a:br>
          <a:r>
            <a:rPr lang="en-GB"/>
            <a:t/>
          </a:r>
          <a:br>
            <a:rPr lang="en-GB"/>
          </a:br>
          <a:r>
            <a:rPr lang="en-GB" sz="1100">
              <a:solidFill>
                <a:srgbClr val="0070C0"/>
              </a:solidFill>
              <a:effectLst/>
              <a:latin typeface="+mn-lt"/>
              <a:ea typeface="+mn-ea"/>
              <a:cs typeface="+mn-cs"/>
            </a:rPr>
            <a:t>Curve Numbers</a:t>
          </a:r>
          <a:r>
            <a:rPr lang="en-GB" sz="1100" baseline="0">
              <a:solidFill>
                <a:srgbClr val="0070C0"/>
              </a:solidFill>
              <a:effectLst/>
              <a:latin typeface="+mn-lt"/>
              <a:ea typeface="+mn-ea"/>
              <a:cs typeface="+mn-cs"/>
            </a:rPr>
            <a:t> </a:t>
          </a:r>
          <a:br>
            <a:rPr lang="en-GB" sz="1100" baseline="0">
              <a:solidFill>
                <a:srgbClr val="0070C0"/>
              </a:solidFill>
              <a:effectLst/>
              <a:latin typeface="+mn-lt"/>
              <a:ea typeface="+mn-ea"/>
              <a:cs typeface="+mn-cs"/>
            </a:rPr>
          </a:br>
          <a:r>
            <a:rPr lang="en-GB" sz="1100" baseline="0">
              <a:solidFill>
                <a:schemeClr val="dk1"/>
              </a:solidFill>
              <a:effectLst/>
              <a:latin typeface="+mn-lt"/>
              <a:ea typeface="+mn-ea"/>
              <a:cs typeface="+mn-cs"/>
            </a:rPr>
            <a:t>can be found via CR</a:t>
          </a:r>
          <a:r>
            <a:rPr lang="en-GB" sz="1100">
              <a:solidFill>
                <a:schemeClr val="dk1"/>
              </a:solidFill>
              <a:effectLst/>
              <a:latin typeface="+mn-lt"/>
              <a:ea typeface="+mn-ea"/>
              <a:cs typeface="+mn-cs"/>
            </a:rPr>
            <a:t>VF &lt;go&gt;</a:t>
          </a:r>
          <a:br>
            <a:rPr lang="en-GB" sz="1100">
              <a:solidFill>
                <a:schemeClr val="dk1"/>
              </a:solidFill>
              <a:effectLst/>
              <a:latin typeface="+mn-lt"/>
              <a:ea typeface="+mn-ea"/>
              <a:cs typeface="+mn-cs"/>
            </a:rPr>
          </a:br>
          <a:r>
            <a:rPr lang="en-GB" sz="1100">
              <a:solidFill>
                <a:schemeClr val="dk1"/>
              </a:solidFill>
              <a:effectLst/>
              <a:latin typeface="+mn-lt"/>
              <a:ea typeface="+mn-ea"/>
              <a:cs typeface="+mn-cs"/>
            </a:rPr>
            <a:t/>
          </a:r>
          <a:br>
            <a:rPr lang="en-GB" sz="1100">
              <a:solidFill>
                <a:schemeClr val="dk1"/>
              </a:solidFill>
              <a:effectLst/>
              <a:latin typeface="+mn-lt"/>
              <a:ea typeface="+mn-ea"/>
              <a:cs typeface="+mn-cs"/>
            </a:rPr>
          </a:br>
          <a:endParaRPr lang="en-GB" sz="1100"/>
        </a:p>
      </xdr:txBody>
    </xdr:sp>
    <xdr:clientData/>
  </xdr:twoCellAnchor>
  <xdr:twoCellAnchor>
    <xdr:from>
      <xdr:col>5</xdr:col>
      <xdr:colOff>434486</xdr:colOff>
      <xdr:row>84</xdr:row>
      <xdr:rowOff>47387</xdr:rowOff>
    </xdr:from>
    <xdr:to>
      <xdr:col>5</xdr:col>
      <xdr:colOff>600843</xdr:colOff>
      <xdr:row>84</xdr:row>
      <xdr:rowOff>178045</xdr:rowOff>
    </xdr:to>
    <xdr:sp macro="" textlink="">
      <xdr:nvSpPr>
        <xdr:cNvPr id="23" name="TextBox 22"/>
        <xdr:cNvSpPr txBox="1"/>
      </xdr:nvSpPr>
      <xdr:spPr>
        <a:xfrm flipH="1">
          <a:off x="8997461" y="16363712"/>
          <a:ext cx="166357" cy="13065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en-GB" sz="1400"/>
        </a:p>
      </xdr:txBody>
    </xdr:sp>
    <xdr:clientData/>
  </xdr:twoCellAnchor>
  <xdr:twoCellAnchor>
    <xdr:from>
      <xdr:col>0</xdr:col>
      <xdr:colOff>0</xdr:colOff>
      <xdr:row>0</xdr:row>
      <xdr:rowOff>0</xdr:rowOff>
    </xdr:from>
    <xdr:to>
      <xdr:col>11</xdr:col>
      <xdr:colOff>251750</xdr:colOff>
      <xdr:row>1</xdr:row>
      <xdr:rowOff>169500</xdr:rowOff>
    </xdr:to>
    <xdr:sp macro="" textlink="">
      <xdr:nvSpPr>
        <xdr:cNvPr id="27"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ysClr val="windowText" lastClr="000000"/>
              </a:solidFill>
              <a:latin typeface="+mn-lt"/>
              <a:ea typeface="+mn-ea"/>
              <a:cs typeface="+mn-cs"/>
            </a:rPr>
            <a:t>Yield Curves in Excel</a:t>
          </a:r>
          <a:endParaRPr lang="en-US" sz="1800" b="1" i="0" baseline="0">
            <a:latin typeface="+mn-lt"/>
            <a:ea typeface="+mn-ea"/>
            <a:cs typeface="+mn-cs"/>
          </a:endParaRPr>
        </a:p>
      </xdr:txBody>
    </xdr:sp>
    <xdr:clientData/>
  </xdr:twoCellAnchor>
  <xdr:twoCellAnchor>
    <xdr:from>
      <xdr:col>1</xdr:col>
      <xdr:colOff>0</xdr:colOff>
      <xdr:row>24</xdr:row>
      <xdr:rowOff>190500</xdr:rowOff>
    </xdr:from>
    <xdr:to>
      <xdr:col>4</xdr:col>
      <xdr:colOff>781050</xdr:colOff>
      <xdr:row>46</xdr:row>
      <xdr:rowOff>19050</xdr:rowOff>
    </xdr:to>
    <xdr:grpSp>
      <xdr:nvGrpSpPr>
        <xdr:cNvPr id="4667284" name="Group 9"/>
        <xdr:cNvGrpSpPr>
          <a:grpSpLocks/>
        </xdr:cNvGrpSpPr>
      </xdr:nvGrpSpPr>
      <xdr:grpSpPr bwMode="auto">
        <a:xfrm>
          <a:off x="243417" y="4953000"/>
          <a:ext cx="7988300" cy="4072467"/>
          <a:chOff x="8113059" y="1692087"/>
          <a:chExt cx="7416615" cy="4034117"/>
        </a:xfrm>
      </xdr:grpSpPr>
      <xdr:grpSp>
        <xdr:nvGrpSpPr>
          <xdr:cNvPr id="4667293" name="Group 7"/>
          <xdr:cNvGrpSpPr>
            <a:grpSpLocks/>
          </xdr:cNvGrpSpPr>
        </xdr:nvGrpSpPr>
        <xdr:grpSpPr bwMode="auto">
          <a:xfrm>
            <a:off x="8113059" y="1692087"/>
            <a:ext cx="7416615" cy="4034117"/>
            <a:chOff x="237003" y="5087471"/>
            <a:chExt cx="7416615" cy="4034117"/>
          </a:xfrm>
        </xdr:grpSpPr>
        <xdr:grpSp>
          <xdr:nvGrpSpPr>
            <xdr:cNvPr id="4667295" name="Group 4"/>
            <xdr:cNvGrpSpPr>
              <a:grpSpLocks/>
            </xdr:cNvGrpSpPr>
          </xdr:nvGrpSpPr>
          <xdr:grpSpPr bwMode="auto">
            <a:xfrm>
              <a:off x="237003" y="5087471"/>
              <a:ext cx="7416615" cy="4034117"/>
              <a:chOff x="9405938" y="2333625"/>
              <a:chExt cx="9310689" cy="5155404"/>
            </a:xfrm>
          </xdr:grpSpPr>
          <xdr:pic>
            <xdr:nvPicPr>
              <xdr:cNvPr id="4667297" name="Picture 9"/>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05938" y="2333625"/>
                <a:ext cx="9310689" cy="5155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7" name="Rectangle 6"/>
              <xdr:cNvSpPr/>
            </xdr:nvSpPr>
            <xdr:spPr>
              <a:xfrm>
                <a:off x="17794447" y="4434422"/>
                <a:ext cx="322208" cy="253544"/>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t" anchorCtr="0" forceAA="0" compatLnSpc="1">
                <a:prstTxWarp prst="textNoShape">
                  <a:avLst/>
                </a:prstTxWarp>
                <a:noAutofit/>
              </a:bodyPr>
              <a:lstStyle/>
              <a:p>
                <a:endParaRPr lang="en-GB"/>
              </a:p>
            </xdr:txBody>
          </xdr:sp>
        </xdr:grpSp>
        <xdr:sp macro="" textlink="">
          <xdr:nvSpPr>
            <xdr:cNvPr id="6" name="Rectangle 5"/>
            <xdr:cNvSpPr/>
          </xdr:nvSpPr>
          <xdr:spPr>
            <a:xfrm>
              <a:off x="6626974" y="6929749"/>
              <a:ext cx="1017793" cy="1738355"/>
            </a:xfrm>
            <a:prstGeom prst="rect">
              <a:avLst/>
            </a:prstGeom>
            <a:solidFill>
              <a:schemeClr val="tx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30" name="TextBox 29"/>
          <xdr:cNvSpPr txBox="1"/>
        </xdr:nvSpPr>
        <xdr:spPr bwMode="auto">
          <a:xfrm>
            <a:off x="9582221" y="3553260"/>
            <a:ext cx="5867799" cy="2069020"/>
          </a:xfrm>
          <a:prstGeom prst="rect">
            <a:avLst/>
          </a:prstGeom>
          <a:solidFill>
            <a:schemeClr val="tx1"/>
          </a:solidFill>
          <a:ln w="3175"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400" b="0" i="0" u="none" strike="noStrike">
                <a:solidFill>
                  <a:schemeClr val="bg1"/>
                </a:solidFill>
                <a:effectLst/>
                <a:latin typeface="+mn-lt"/>
                <a:ea typeface="+mn-ea"/>
                <a:cs typeface="+mn-cs"/>
              </a:rPr>
              <a:t>The curve no.</a:t>
            </a:r>
            <a:r>
              <a:rPr lang="en-GB" sz="1400" b="0" i="0" u="none" strike="noStrike" baseline="0">
                <a:solidFill>
                  <a:schemeClr val="bg1"/>
                </a:solidFill>
                <a:effectLst/>
                <a:latin typeface="+mn-lt"/>
                <a:ea typeface="+mn-ea"/>
                <a:cs typeface="+mn-cs"/>
              </a:rPr>
              <a:t> </a:t>
            </a:r>
            <a:r>
              <a:rPr lang="en-GB" sz="1400" b="0" i="0" u="none" strike="noStrike">
                <a:solidFill>
                  <a:schemeClr val="bg1"/>
                </a:solidFill>
                <a:effectLst/>
                <a:latin typeface="+mn-lt"/>
                <a:ea typeface="+mn-ea"/>
                <a:cs typeface="+mn-cs"/>
              </a:rPr>
              <a:t>for Japane</a:t>
            </a:r>
            <a:r>
              <a:rPr lang="en-GB" sz="1400" b="0" i="0" u="none" strike="noStrike" baseline="0">
                <a:solidFill>
                  <a:schemeClr val="bg1"/>
                </a:solidFill>
                <a:effectLst/>
                <a:latin typeface="+mn-lt"/>
                <a:ea typeface="+mn-ea"/>
                <a:cs typeface="+mn-cs"/>
              </a:rPr>
              <a:t> </a:t>
            </a:r>
            <a:r>
              <a:rPr lang="en-GB" sz="1400" b="0" i="0" u="none" strike="noStrike">
                <a:solidFill>
                  <a:schemeClr val="bg1"/>
                </a:solidFill>
                <a:effectLst/>
                <a:latin typeface="+mn-lt"/>
                <a:ea typeface="+mn-ea"/>
                <a:cs typeface="+mn-cs"/>
              </a:rPr>
              <a:t>Sovereign Bonds</a:t>
            </a:r>
            <a:r>
              <a:rPr lang="en-GB" sz="1400" b="0" i="0" u="none" strike="noStrike" baseline="0">
                <a:solidFill>
                  <a:schemeClr val="bg1"/>
                </a:solidFill>
                <a:effectLst/>
                <a:latin typeface="+mn-lt"/>
                <a:ea typeface="+mn-ea"/>
                <a:cs typeface="+mn-cs"/>
              </a:rPr>
              <a:t> </a:t>
            </a:r>
            <a:r>
              <a:rPr lang="en-GB" sz="1400" b="0" i="0" u="none" strike="noStrike">
                <a:solidFill>
                  <a:schemeClr val="bg1"/>
                </a:solidFill>
                <a:effectLst/>
                <a:latin typeface="+mn-lt"/>
                <a:ea typeface="+mn-ea"/>
                <a:cs typeface="+mn-cs"/>
              </a:rPr>
              <a:t>is </a:t>
            </a:r>
            <a:r>
              <a:rPr lang="en-GB" sz="1400" b="0" i="0" u="none" strike="noStrike" baseline="0">
                <a:solidFill>
                  <a:schemeClr val="bg1"/>
                </a:solidFill>
                <a:effectLst/>
                <a:latin typeface="+mn-lt"/>
                <a:ea typeface="+mn-ea"/>
                <a:cs typeface="+mn-cs"/>
              </a:rPr>
              <a:t> </a:t>
            </a:r>
            <a:r>
              <a:rPr lang="en-GB" sz="1600" b="1" i="0" u="none" strike="noStrike">
                <a:solidFill>
                  <a:srgbClr val="FF0000"/>
                </a:solidFill>
                <a:effectLst/>
                <a:latin typeface="+mn-lt"/>
                <a:ea typeface="+mn-ea"/>
                <a:cs typeface="+mn-cs"/>
              </a:rPr>
              <a:t>18</a:t>
            </a:r>
            <a:r>
              <a:rPr lang="en-GB" sz="1200" b="0" i="0" u="none" strike="noStrike" baseline="0">
                <a:solidFill>
                  <a:srgbClr val="FF0000"/>
                </a:solidFill>
                <a:effectLst/>
                <a:latin typeface="+mn-lt"/>
                <a:ea typeface="+mn-ea"/>
                <a:cs typeface="+mn-cs"/>
              </a:rPr>
              <a:t> </a:t>
            </a:r>
            <a:r>
              <a:rPr lang="en-GB" sz="1400" b="0" i="0" u="none" strike="noStrike" baseline="0">
                <a:solidFill>
                  <a:srgbClr val="FF0000"/>
                </a:solidFill>
                <a:effectLst/>
                <a:latin typeface="+mn-lt"/>
                <a:ea typeface="+mn-ea"/>
                <a:cs typeface="+mn-cs"/>
              </a:rPr>
              <a:t>(disregard front letter!)</a:t>
            </a:r>
            <a:r>
              <a:rPr lang="en-GB" sz="1400" b="1" i="0" u="none" strike="noStrike" baseline="0">
                <a:solidFill>
                  <a:srgbClr val="FF0000"/>
                </a:solidFill>
                <a:effectLst/>
                <a:latin typeface="+mn-lt"/>
                <a:ea typeface="+mn-ea"/>
                <a:cs typeface="+mn-cs"/>
              </a:rPr>
              <a:t> </a:t>
            </a:r>
            <a:r>
              <a:rPr lang="en-GB" sz="1400" b="0" i="0" u="none" strike="noStrike" baseline="0">
                <a:solidFill>
                  <a:schemeClr val="bg1"/>
                </a:solidFill>
                <a:effectLst/>
                <a:latin typeface="+mn-lt"/>
                <a:ea typeface="+mn-ea"/>
                <a:cs typeface="+mn-cs"/>
              </a:rPr>
              <a:t>for the curve becomes   YCGT0018 index    and can now be used in Excel; see cell B31.</a:t>
            </a:r>
            <a:br>
              <a:rPr lang="en-GB" sz="1400" b="0" i="0" u="none" strike="noStrike" baseline="0">
                <a:solidFill>
                  <a:schemeClr val="bg1"/>
                </a:solidFill>
                <a:effectLst/>
                <a:latin typeface="+mn-lt"/>
                <a:ea typeface="+mn-ea"/>
                <a:cs typeface="+mn-cs"/>
              </a:rPr>
            </a:br>
            <a:r>
              <a:rPr lang="en-GB" sz="1400" b="0" i="0" u="none" strike="noStrike" baseline="0">
                <a:solidFill>
                  <a:schemeClr val="bg1"/>
                </a:solidFill>
                <a:effectLst/>
                <a:latin typeface="+mn-lt"/>
                <a:ea typeface="+mn-ea"/>
                <a:cs typeface="+mn-cs"/>
              </a:rPr>
              <a:t/>
            </a:r>
            <a:br>
              <a:rPr lang="en-GB" sz="1400" b="0" i="0" u="none" strike="noStrike" baseline="0">
                <a:solidFill>
                  <a:schemeClr val="bg1"/>
                </a:solidFill>
                <a:effectLst/>
                <a:latin typeface="+mn-lt"/>
                <a:ea typeface="+mn-ea"/>
                <a:cs typeface="+mn-cs"/>
              </a:rPr>
            </a:br>
            <a:r>
              <a:rPr lang="en-GB" sz="1400" b="0" i="0" u="none" strike="noStrike" baseline="0">
                <a:solidFill>
                  <a:schemeClr val="bg1"/>
                </a:solidFill>
                <a:effectLst/>
                <a:latin typeface="+mn-lt"/>
                <a:ea typeface="+mn-ea"/>
                <a:cs typeface="+mn-cs"/>
              </a:rPr>
              <a:t>Note that the ticker is always made  up of 8 characters and always begins with YCGT00 e.g. YCGT0018. </a:t>
            </a:r>
            <a:br>
              <a:rPr lang="en-GB" sz="1400" b="0" i="0" u="none" strike="noStrike" baseline="0">
                <a:solidFill>
                  <a:schemeClr val="bg1"/>
                </a:solidFill>
                <a:effectLst/>
                <a:latin typeface="+mn-lt"/>
                <a:ea typeface="+mn-ea"/>
                <a:cs typeface="+mn-cs"/>
              </a:rPr>
            </a:br>
            <a:r>
              <a:rPr lang="en-GB" sz="1400" b="0" i="0" u="none" strike="noStrike" baseline="0">
                <a:solidFill>
                  <a:schemeClr val="bg1"/>
                </a:solidFill>
                <a:effectLst/>
                <a:latin typeface="+mn-lt"/>
                <a:ea typeface="+mn-ea"/>
                <a:cs typeface="+mn-cs"/>
              </a:rPr>
              <a:t>Note that some BVAL curves (ID code starting with the letter B)  may not be available for </a:t>
            </a:r>
            <a:r>
              <a:rPr lang="en-GB" sz="1600" b="0" i="0" u="none" strike="noStrike" baseline="0">
                <a:solidFill>
                  <a:schemeClr val="bg1"/>
                </a:solidFill>
                <a:effectLst/>
                <a:latin typeface="+mn-lt"/>
                <a:ea typeface="+mn-ea"/>
                <a:cs typeface="+mn-cs"/>
              </a:rPr>
              <a:t>downloads.</a:t>
            </a:r>
            <a:r>
              <a:rPr lang="en-GB" sz="1200" b="1" i="0" u="none" strike="noStrike" baseline="0">
                <a:solidFill>
                  <a:srgbClr val="FF0000"/>
                </a:solidFill>
                <a:effectLst/>
                <a:latin typeface="+mn-lt"/>
                <a:ea typeface="+mn-ea"/>
                <a:cs typeface="+mn-cs"/>
              </a:rPr>
              <a:t/>
            </a:r>
            <a:br>
              <a:rPr lang="en-GB" sz="1200" b="1" i="0" u="none" strike="noStrike" baseline="0">
                <a:solidFill>
                  <a:srgbClr val="FF0000"/>
                </a:solidFill>
                <a:effectLst/>
                <a:latin typeface="+mn-lt"/>
                <a:ea typeface="+mn-ea"/>
                <a:cs typeface="+mn-cs"/>
              </a:rPr>
            </a:br>
            <a:r>
              <a:rPr lang="en-GB" sz="1200" b="1" i="0" u="none" strike="noStrike" baseline="0">
                <a:solidFill>
                  <a:srgbClr val="FF0000"/>
                </a:solidFill>
                <a:effectLst/>
                <a:latin typeface="+mn-lt"/>
                <a:ea typeface="+mn-ea"/>
                <a:cs typeface="+mn-cs"/>
              </a:rPr>
              <a:t/>
            </a:r>
            <a:br>
              <a:rPr lang="en-GB" sz="1200" b="1" i="0" u="none" strike="noStrike" baseline="0">
                <a:solidFill>
                  <a:srgbClr val="FF0000"/>
                </a:solidFill>
                <a:effectLst/>
                <a:latin typeface="+mn-lt"/>
                <a:ea typeface="+mn-ea"/>
                <a:cs typeface="+mn-cs"/>
              </a:rPr>
            </a:br>
            <a:endParaRPr lang="en-GB" sz="1400" b="1">
              <a:solidFill>
                <a:srgbClr val="FF0000"/>
              </a:solidFill>
            </a:endParaRPr>
          </a:p>
        </xdr:txBody>
      </xdr:sp>
    </xdr:grpSp>
    <xdr:clientData/>
  </xdr:twoCellAnchor>
  <xdr:twoCellAnchor>
    <xdr:from>
      <xdr:col>12</xdr:col>
      <xdr:colOff>0</xdr:colOff>
      <xdr:row>138</xdr:row>
      <xdr:rowOff>57150</xdr:rowOff>
    </xdr:from>
    <xdr:to>
      <xdr:col>16</xdr:col>
      <xdr:colOff>0</xdr:colOff>
      <xdr:row>154</xdr:row>
      <xdr:rowOff>190500</xdr:rowOff>
    </xdr:to>
    <xdr:graphicFrame macro="">
      <xdr:nvGraphicFramePr>
        <xdr:cNvPr id="4667285" name="Chart 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1552575</xdr:colOff>
      <xdr:row>113</xdr:row>
      <xdr:rowOff>152400</xdr:rowOff>
    </xdr:from>
    <xdr:to>
      <xdr:col>2</xdr:col>
      <xdr:colOff>0</xdr:colOff>
      <xdr:row>116</xdr:row>
      <xdr:rowOff>114300</xdr:rowOff>
    </xdr:to>
    <xdr:cxnSp macro="">
      <xdr:nvCxnSpPr>
        <xdr:cNvPr id="4" name="Straight Arrow Connector 3"/>
        <xdr:cNvCxnSpPr/>
      </xdr:nvCxnSpPr>
      <xdr:spPr>
        <a:xfrm flipH="1">
          <a:off x="1800225" y="22193250"/>
          <a:ext cx="857250" cy="590550"/>
        </a:xfrm>
        <a:prstGeom prst="straightConnector1">
          <a:avLst/>
        </a:prstGeom>
        <a:ln w="6350">
          <a:solidFill>
            <a:schemeClr val="accent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171450</xdr:colOff>
      <xdr:row>37</xdr:row>
      <xdr:rowOff>171450</xdr:rowOff>
    </xdr:from>
    <xdr:to>
      <xdr:col>6</xdr:col>
      <xdr:colOff>1600200</xdr:colOff>
      <xdr:row>41</xdr:row>
      <xdr:rowOff>142875</xdr:rowOff>
    </xdr:to>
    <xdr:grpSp>
      <xdr:nvGrpSpPr>
        <xdr:cNvPr id="4667287" name="Group 1"/>
        <xdr:cNvGrpSpPr>
          <a:grpSpLocks/>
        </xdr:cNvGrpSpPr>
      </xdr:nvGrpSpPr>
      <xdr:grpSpPr bwMode="auto">
        <a:xfrm>
          <a:off x="8733367" y="7463367"/>
          <a:ext cx="2540000" cy="733425"/>
          <a:chOff x="8561917" y="7291917"/>
          <a:chExt cx="2540002" cy="733425"/>
        </a:xfrm>
      </xdr:grpSpPr>
      <xdr:grpSp>
        <xdr:nvGrpSpPr>
          <xdr:cNvPr id="4667289" name="Group 2091971"/>
          <xdr:cNvGrpSpPr>
            <a:grpSpLocks/>
          </xdr:cNvGrpSpPr>
        </xdr:nvGrpSpPr>
        <xdr:grpSpPr bwMode="auto">
          <a:xfrm>
            <a:off x="8590494" y="7291917"/>
            <a:ext cx="2511425" cy="733425"/>
            <a:chOff x="7096126" y="1952625"/>
            <a:chExt cx="2495550" cy="735075"/>
          </a:xfrm>
        </xdr:grpSpPr>
        <xdr:pic>
          <xdr:nvPicPr>
            <xdr:cNvPr id="21" name="Picture 20"/>
            <xdr:cNvPicPr>
              <a:picLocks noChangeAspect="1"/>
            </xdr:cNvPicPr>
          </xdr:nvPicPr>
          <xdr:blipFill>
            <a:blip xmlns:r="http://schemas.openxmlformats.org/officeDocument/2006/relationships" r:embed="rId4"/>
            <a:stretch>
              <a:fillRect/>
            </a:stretch>
          </xdr:blipFill>
          <xdr:spPr>
            <a:xfrm>
              <a:off x="7096088" y="1952625"/>
              <a:ext cx="2495588" cy="735075"/>
            </a:xfrm>
            <a:prstGeom prst="rect">
              <a:avLst/>
            </a:prstGeom>
            <a:ln>
              <a:solidFill>
                <a:schemeClr val="bg1">
                  <a:lumMod val="95000"/>
                </a:schemeClr>
              </a:solidFill>
            </a:ln>
            <a:effectLst>
              <a:outerShdw blurRad="50800" dist="38100" dir="2700000" algn="tl" rotWithShape="0">
                <a:prstClr val="black">
                  <a:alpha val="40000"/>
                </a:prstClr>
              </a:outerShdw>
            </a:effectLst>
          </xdr:spPr>
        </xdr:pic>
        <xdr:sp macro="" textlink="">
          <xdr:nvSpPr>
            <xdr:cNvPr id="22" name="Rectangle 21"/>
            <xdr:cNvSpPr/>
          </xdr:nvSpPr>
          <xdr:spPr>
            <a:xfrm>
              <a:off x="7096088" y="2086275"/>
              <a:ext cx="472649" cy="458229"/>
            </a:xfrm>
            <a:prstGeom prst="rect">
              <a:avLst/>
            </a:prstGeom>
            <a:noFill/>
            <a:ln w="19050">
              <a:solidFill>
                <a:schemeClr val="bg1">
                  <a:lumMod val="9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sp macro="" textlink="">
        <xdr:nvSpPr>
          <xdr:cNvPr id="24" name="Rectangle 23"/>
          <xdr:cNvSpPr/>
        </xdr:nvSpPr>
        <xdr:spPr>
          <a:xfrm>
            <a:off x="8561917" y="7396692"/>
            <a:ext cx="523221" cy="542925"/>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xdr:col>
      <xdr:colOff>1576916</xdr:colOff>
      <xdr:row>139</xdr:row>
      <xdr:rowOff>126999</xdr:rowOff>
    </xdr:from>
    <xdr:to>
      <xdr:col>2</xdr:col>
      <xdr:colOff>24341</xdr:colOff>
      <xdr:row>142</xdr:row>
      <xdr:rowOff>99483</xdr:rowOff>
    </xdr:to>
    <xdr:cxnSp macro="">
      <xdr:nvCxnSpPr>
        <xdr:cNvPr id="25" name="Straight Arrow Connector 24"/>
        <xdr:cNvCxnSpPr/>
      </xdr:nvCxnSpPr>
      <xdr:spPr>
        <a:xfrm flipH="1">
          <a:off x="1820333" y="27230916"/>
          <a:ext cx="860425" cy="596900"/>
        </a:xfrm>
        <a:prstGeom prst="straightConnector1">
          <a:avLst/>
        </a:prstGeom>
        <a:ln w="6350">
          <a:solidFill>
            <a:schemeClr val="accent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2.xml><?xml version="1.0" encoding="utf-8"?>
<xdr:wsDr xmlns:xdr="http://schemas.openxmlformats.org/drawingml/2006/spreadsheetDrawing" xmlns:a="http://schemas.openxmlformats.org/drawingml/2006/main">
  <xdr:twoCellAnchor>
    <xdr:from>
      <xdr:col>6</xdr:col>
      <xdr:colOff>2746412</xdr:colOff>
      <xdr:row>8</xdr:row>
      <xdr:rowOff>101939</xdr:rowOff>
    </xdr:from>
    <xdr:to>
      <xdr:col>8</xdr:col>
      <xdr:colOff>67348</xdr:colOff>
      <xdr:row>16</xdr:row>
      <xdr:rowOff>72971</xdr:rowOff>
    </xdr:to>
    <xdr:sp macro="" textlink="">
      <xdr:nvSpPr>
        <xdr:cNvPr id="6" name="TextBox 5"/>
        <xdr:cNvSpPr txBox="1"/>
      </xdr:nvSpPr>
      <xdr:spPr>
        <a:xfrm rot="1066860">
          <a:off x="7254912" y="2070439"/>
          <a:ext cx="2707853" cy="1495032"/>
        </a:xfrm>
        <a:prstGeom prst="rect">
          <a:avLst/>
        </a:prstGeom>
        <a:solidFill>
          <a:sysClr val="window" lastClr="FFFFFF"/>
        </a:solidFill>
        <a:ln w="9525" cmpd="sng">
          <a:solidFill>
            <a:srgbClr val="FF0000"/>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2000" b="1">
              <a:solidFill>
                <a:srgbClr val="FF0000"/>
              </a:solidFill>
              <a:latin typeface="+mn-lt"/>
            </a:rPr>
            <a:t>To</a:t>
          </a:r>
          <a:r>
            <a:rPr lang="en-GB" sz="2000" b="1" baseline="0">
              <a:solidFill>
                <a:srgbClr val="FF0000"/>
              </a:solidFill>
              <a:latin typeface="+mn-lt"/>
            </a:rPr>
            <a:t> view all data</a:t>
          </a:r>
          <a:r>
            <a:rPr lang="en-GB" sz="2000" b="1">
              <a:solidFill>
                <a:srgbClr val="FF0000"/>
              </a:solidFill>
              <a:latin typeface="+mn-lt"/>
            </a:rPr>
            <a:t> refresh the page by pressing</a:t>
          </a:r>
          <a:r>
            <a:rPr lang="en-GB" sz="2000" b="1" baseline="0">
              <a:solidFill>
                <a:srgbClr val="FF0000"/>
              </a:solidFill>
              <a:latin typeface="+mn-lt"/>
            </a:rPr>
            <a:t> </a:t>
          </a:r>
          <a:r>
            <a:rPr lang="en-GB" sz="2000" b="1">
              <a:solidFill>
                <a:srgbClr val="FF0000"/>
              </a:solidFill>
              <a:latin typeface="+mn-lt"/>
            </a:rPr>
            <a:t> &lt;CTLR&gt;</a:t>
          </a:r>
          <a:r>
            <a:rPr lang="en-GB" sz="2000" b="1" baseline="0">
              <a:solidFill>
                <a:srgbClr val="FF0000"/>
              </a:solidFill>
              <a:latin typeface="+mn-lt"/>
            </a:rPr>
            <a:t>   </a:t>
          </a:r>
          <a:r>
            <a:rPr lang="en-GB" sz="2000" b="1">
              <a:solidFill>
                <a:srgbClr val="FF0000"/>
              </a:solidFill>
              <a:latin typeface="+mn-lt"/>
            </a:rPr>
            <a:t>&lt;SHIFT&gt;</a:t>
          </a:r>
          <a:r>
            <a:rPr lang="en-GB" sz="2000" b="1" baseline="0">
              <a:solidFill>
                <a:srgbClr val="FF0000"/>
              </a:solidFill>
              <a:latin typeface="+mn-lt"/>
            </a:rPr>
            <a:t>   </a:t>
          </a:r>
          <a:r>
            <a:rPr lang="en-GB" sz="2000" b="1">
              <a:solidFill>
                <a:srgbClr val="FF0000"/>
              </a:solidFill>
              <a:latin typeface="+mn-lt"/>
            </a:rPr>
            <a:t>C </a:t>
          </a:r>
          <a:br>
            <a:rPr lang="en-GB" sz="2000" b="1">
              <a:solidFill>
                <a:srgbClr val="FF0000"/>
              </a:solidFill>
              <a:latin typeface="+mn-lt"/>
            </a:rPr>
          </a:br>
          <a:r>
            <a:rPr lang="en-GB" sz="2000" b="1">
              <a:solidFill>
                <a:srgbClr val="FF0000"/>
              </a:solidFill>
              <a:latin typeface="+mn-lt"/>
            </a:rPr>
            <a:t>in that order!</a:t>
          </a:r>
        </a:p>
      </xdr:txBody>
    </xdr:sp>
    <xdr:clientData/>
  </xdr:twoCellAnchor>
  <xdr:twoCellAnchor editAs="oneCell">
    <xdr:from>
      <xdr:col>1</xdr:col>
      <xdr:colOff>38100</xdr:colOff>
      <xdr:row>4</xdr:row>
      <xdr:rowOff>19050</xdr:rowOff>
    </xdr:from>
    <xdr:to>
      <xdr:col>6</xdr:col>
      <xdr:colOff>2333625</xdr:colOff>
      <xdr:row>22</xdr:row>
      <xdr:rowOff>0</xdr:rowOff>
    </xdr:to>
    <xdr:pic>
      <xdr:nvPicPr>
        <xdr:cNvPr id="4438207" name="Picture 6"/>
        <xdr:cNvPicPr>
          <a:picLocks noChangeAspect="1"/>
        </xdr:cNvPicPr>
      </xdr:nvPicPr>
      <xdr:blipFill>
        <a:blip xmlns:r="http://schemas.openxmlformats.org/officeDocument/2006/relationships" r:embed="rId1"/>
        <a:srcRect/>
        <a:stretch>
          <a:fillRect/>
        </a:stretch>
      </xdr:blipFill>
      <xdr:spPr bwMode="auto">
        <a:xfrm>
          <a:off x="285750" y="1228725"/>
          <a:ext cx="6543675" cy="340995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507997</xdr:colOff>
      <xdr:row>4</xdr:row>
      <xdr:rowOff>9525</xdr:rowOff>
    </xdr:from>
    <xdr:to>
      <xdr:col>13</xdr:col>
      <xdr:colOff>846666</xdr:colOff>
      <xdr:row>16</xdr:row>
      <xdr:rowOff>66675</xdr:rowOff>
    </xdr:to>
    <xdr:graphicFrame macro="">
      <xdr:nvGraphicFramePr>
        <xdr:cNvPr id="4438463" name="Chart 1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507997</xdr:colOff>
      <xdr:row>17</xdr:row>
      <xdr:rowOff>47625</xdr:rowOff>
    </xdr:from>
    <xdr:to>
      <xdr:col>13</xdr:col>
      <xdr:colOff>846666</xdr:colOff>
      <xdr:row>23</xdr:row>
      <xdr:rowOff>0</xdr:rowOff>
    </xdr:to>
    <xdr:graphicFrame macro="">
      <xdr:nvGraphicFramePr>
        <xdr:cNvPr id="4438464"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0</xdr:row>
      <xdr:rowOff>0</xdr:rowOff>
    </xdr:from>
    <xdr:to>
      <xdr:col>17</xdr:col>
      <xdr:colOff>357583</xdr:colOff>
      <xdr:row>1</xdr:row>
      <xdr:rowOff>169500</xdr:rowOff>
    </xdr:to>
    <xdr:sp macro="" textlink="">
      <xdr:nvSpPr>
        <xdr:cNvPr id="7"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ysClr val="windowText" lastClr="000000"/>
              </a:solidFill>
              <a:latin typeface="+mn-lt"/>
              <a:ea typeface="+mn-ea"/>
              <a:cs typeface="+mn-cs"/>
            </a:rPr>
            <a:t>Yield Curves in Excel</a:t>
          </a:r>
          <a:endParaRPr lang="en-US" sz="1800" b="1" i="0" baseline="0">
            <a:latin typeface="+mn-lt"/>
            <a:ea typeface="+mn-ea"/>
            <a:cs typeface="+mn-cs"/>
          </a:endParaRPr>
        </a:p>
      </xdr:txBody>
    </xdr:sp>
    <xdr:clientData/>
  </xdr:twoCellAnchor>
</xdr:wsDr>
</file>

<file path=xl/drawings/drawing23.xml><?xml version="1.0" encoding="utf-8"?>
<xdr:wsDr xmlns:xdr="http://schemas.openxmlformats.org/drawingml/2006/spreadsheetDrawing" xmlns:a="http://schemas.openxmlformats.org/drawingml/2006/main">
  <xdr:twoCellAnchor editAs="oneCell">
    <xdr:from>
      <xdr:col>3</xdr:col>
      <xdr:colOff>2438399</xdr:colOff>
      <xdr:row>20</xdr:row>
      <xdr:rowOff>9524</xdr:rowOff>
    </xdr:from>
    <xdr:to>
      <xdr:col>17</xdr:col>
      <xdr:colOff>602150</xdr:colOff>
      <xdr:row>44</xdr:row>
      <xdr:rowOff>190499</xdr:rowOff>
    </xdr:to>
    <xdr:pic>
      <xdr:nvPicPr>
        <xdr:cNvPr id="2" name="Picture 1"/>
        <xdr:cNvPicPr>
          <a:picLocks noChangeAspect="1"/>
        </xdr:cNvPicPr>
      </xdr:nvPicPr>
      <xdr:blipFill>
        <a:blip xmlns:r="http://schemas.openxmlformats.org/officeDocument/2006/relationships" r:embed="rId1"/>
        <a:stretch>
          <a:fillRect/>
        </a:stretch>
      </xdr:blipFill>
      <xdr:spPr>
        <a:xfrm>
          <a:off x="4448174" y="3867149"/>
          <a:ext cx="9231801" cy="4752975"/>
        </a:xfrm>
        <a:prstGeom prst="rect">
          <a:avLst/>
        </a:prstGeom>
        <a:effectLst>
          <a:outerShdw blurRad="50800" dist="38100" dir="2700000" algn="tl" rotWithShape="0">
            <a:prstClr val="black">
              <a:alpha val="40000"/>
            </a:prstClr>
          </a:outerShdw>
        </a:effectLst>
      </xdr:spPr>
    </xdr:pic>
    <xdr:clientData/>
  </xdr:twoCellAnchor>
  <xdr:twoCellAnchor>
    <xdr:from>
      <xdr:col>0</xdr:col>
      <xdr:colOff>0</xdr:colOff>
      <xdr:row>0</xdr:row>
      <xdr:rowOff>0</xdr:rowOff>
    </xdr:from>
    <xdr:to>
      <xdr:col>25</xdr:col>
      <xdr:colOff>45375</xdr:colOff>
      <xdr:row>1</xdr:row>
      <xdr:rowOff>169500</xdr:rowOff>
    </xdr:to>
    <xdr:sp macro="" textlink="">
      <xdr:nvSpPr>
        <xdr:cNvPr id="3"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ysClr val="windowText" lastClr="000000"/>
              </a:solidFill>
              <a:latin typeface="+mn-lt"/>
              <a:ea typeface="+mn-ea"/>
              <a:cs typeface="+mn-cs"/>
            </a:rPr>
            <a:t>Supply Chain Data from SPLC  </a:t>
          </a:r>
          <a:endParaRPr lang="en-US" sz="1800" b="1" i="0" baseline="0">
            <a:latin typeface="+mn-lt"/>
            <a:ea typeface="+mn-ea"/>
            <a:cs typeface="+mn-cs"/>
          </a:endParaRP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0</xdr:row>
      <xdr:rowOff>0</xdr:rowOff>
    </xdr:from>
    <xdr:to>
      <xdr:col>25</xdr:col>
      <xdr:colOff>368167</xdr:colOff>
      <xdr:row>1</xdr:row>
      <xdr:rowOff>169500</xdr:rowOff>
    </xdr:to>
    <xdr:sp macro="" textlink="">
      <xdr:nvSpPr>
        <xdr:cNvPr id="3"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Bloomberg Chain</a:t>
          </a:r>
          <a:endParaRPr lang="en-US" sz="1800" b="1" i="0" u="none" strike="noStrike" baseline="0">
            <a:solidFill>
              <a:srgbClr val="000000"/>
            </a:solidFill>
            <a:latin typeface="+mn-lt"/>
            <a:cs typeface="Angsana New" pitchFamily="18" charset="-34"/>
          </a:endParaRPr>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0</xdr:row>
      <xdr:rowOff>0</xdr:rowOff>
    </xdr:from>
    <xdr:to>
      <xdr:col>25</xdr:col>
      <xdr:colOff>579833</xdr:colOff>
      <xdr:row>1</xdr:row>
      <xdr:rowOff>169500</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Data Set (Bulk Data)</a:t>
          </a:r>
          <a:endParaRPr lang="en-US" sz="1800" b="1" i="0" u="none" strike="noStrike" baseline="0">
            <a:solidFill>
              <a:srgbClr val="000000"/>
            </a:solidFill>
            <a:latin typeface="+mn-lt"/>
            <a:cs typeface="Angsana New" pitchFamily="18" charset="-34"/>
          </a:endParaRPr>
        </a:p>
      </xdr:txBody>
    </xdr:sp>
    <xdr:clientData/>
  </xdr:twoCellAnchor>
  <xdr:twoCellAnchor editAs="oneCell">
    <xdr:from>
      <xdr:col>0</xdr:col>
      <xdr:colOff>133350</xdr:colOff>
      <xdr:row>10</xdr:row>
      <xdr:rowOff>95250</xdr:rowOff>
    </xdr:from>
    <xdr:to>
      <xdr:col>7</xdr:col>
      <xdr:colOff>76200</xdr:colOff>
      <xdr:row>53</xdr:row>
      <xdr:rowOff>104775</xdr:rowOff>
    </xdr:to>
    <xdr:pic>
      <xdr:nvPicPr>
        <xdr:cNvPr id="4441495"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3350" y="2074333"/>
          <a:ext cx="6504517" cy="8201025"/>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237751</xdr:colOff>
      <xdr:row>9</xdr:row>
      <xdr:rowOff>103438</xdr:rowOff>
    </xdr:from>
    <xdr:to>
      <xdr:col>1</xdr:col>
      <xdr:colOff>239293</xdr:colOff>
      <xdr:row>11</xdr:row>
      <xdr:rowOff>118438</xdr:rowOff>
    </xdr:to>
    <xdr:cxnSp macro="">
      <xdr:nvCxnSpPr>
        <xdr:cNvPr id="3" name="Straight Arrow Connector 2"/>
        <xdr:cNvCxnSpPr/>
      </xdr:nvCxnSpPr>
      <xdr:spPr>
        <a:xfrm flipH="1">
          <a:off x="466351" y="1894138"/>
          <a:ext cx="1542" cy="396000"/>
        </a:xfrm>
        <a:prstGeom prst="straightConnector1">
          <a:avLst/>
        </a:prstGeom>
        <a:ln w="6350">
          <a:solidFill>
            <a:srgbClr val="0070C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1247401</xdr:colOff>
      <xdr:row>10</xdr:row>
      <xdr:rowOff>19050</xdr:rowOff>
    </xdr:from>
    <xdr:to>
      <xdr:col>3</xdr:col>
      <xdr:colOff>1247775</xdr:colOff>
      <xdr:row>12</xdr:row>
      <xdr:rowOff>127963</xdr:rowOff>
    </xdr:to>
    <xdr:cxnSp macro="">
      <xdr:nvCxnSpPr>
        <xdr:cNvPr id="9" name="Straight Arrow Connector 8"/>
        <xdr:cNvCxnSpPr/>
      </xdr:nvCxnSpPr>
      <xdr:spPr>
        <a:xfrm flipH="1">
          <a:off x="4123951" y="2000250"/>
          <a:ext cx="374" cy="489913"/>
        </a:xfrm>
        <a:prstGeom prst="straightConnector1">
          <a:avLst/>
        </a:prstGeom>
        <a:ln w="6350">
          <a:solidFill>
            <a:srgbClr val="0070C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754989</xdr:colOff>
      <xdr:row>34</xdr:row>
      <xdr:rowOff>104750</xdr:rowOff>
    </xdr:from>
    <xdr:to>
      <xdr:col>3</xdr:col>
      <xdr:colOff>993986</xdr:colOff>
      <xdr:row>43</xdr:row>
      <xdr:rowOff>68644</xdr:rowOff>
    </xdr:to>
    <xdr:sp macro="" textlink="">
      <xdr:nvSpPr>
        <xdr:cNvPr id="2" name="TextBox 1"/>
        <xdr:cNvSpPr txBox="1"/>
      </xdr:nvSpPr>
      <xdr:spPr>
        <a:xfrm rot="780640">
          <a:off x="2003822" y="6655833"/>
          <a:ext cx="1879414" cy="16783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600" b="1">
              <a:solidFill>
                <a:srgbClr val="FF0000"/>
              </a:solidFill>
            </a:rPr>
            <a:t>IMPORTANT</a:t>
          </a:r>
          <a:br>
            <a:rPr lang="en-GB" sz="1600" b="1">
              <a:solidFill>
                <a:srgbClr val="FF0000"/>
              </a:solidFill>
            </a:rPr>
          </a:br>
          <a:r>
            <a:rPr lang="en-GB" sz="1600">
              <a:solidFill>
                <a:srgbClr val="FF0000"/>
              </a:solidFill>
            </a:rPr>
            <a:t>This is a screen </a:t>
          </a:r>
          <a:br>
            <a:rPr lang="en-GB" sz="1600">
              <a:solidFill>
                <a:srgbClr val="FF0000"/>
              </a:solidFill>
            </a:rPr>
          </a:br>
          <a:r>
            <a:rPr lang="en-GB" sz="1600">
              <a:solidFill>
                <a:srgbClr val="FF0000"/>
              </a:solidFill>
            </a:rPr>
            <a:t>shot of my</a:t>
          </a:r>
          <a:r>
            <a:rPr lang="en-GB" sz="1600" baseline="0">
              <a:solidFill>
                <a:srgbClr val="FF0000"/>
              </a:solidFill>
            </a:rPr>
            <a:t> search</a:t>
          </a:r>
          <a:br>
            <a:rPr lang="en-GB" sz="1600" baseline="0">
              <a:solidFill>
                <a:srgbClr val="FF0000"/>
              </a:solidFill>
            </a:rPr>
          </a:br>
          <a:r>
            <a:rPr lang="en-GB" sz="1600" baseline="0">
              <a:solidFill>
                <a:srgbClr val="FF0000"/>
              </a:solidFill>
            </a:rPr>
            <a:t/>
          </a:r>
          <a:br>
            <a:rPr lang="en-GB" sz="1600" baseline="0">
              <a:solidFill>
                <a:srgbClr val="FF0000"/>
              </a:solidFill>
            </a:rPr>
          </a:br>
          <a:r>
            <a:rPr lang="en-GB" sz="1600" b="1" baseline="0">
              <a:solidFill>
                <a:srgbClr val="FF0000"/>
              </a:solidFill>
            </a:rPr>
            <a:t>Please use your </a:t>
          </a:r>
          <a:r>
            <a:rPr lang="en-GB" sz="1600" baseline="0">
              <a:solidFill>
                <a:srgbClr val="FF0000"/>
              </a:solidFill>
            </a:rPr>
            <a:t/>
          </a:r>
          <a:br>
            <a:rPr lang="en-GB" sz="1600" baseline="0">
              <a:solidFill>
                <a:srgbClr val="FF0000"/>
              </a:solidFill>
            </a:rPr>
          </a:br>
          <a:r>
            <a:rPr lang="en-GB" sz="1600" b="1" baseline="0">
              <a:solidFill>
                <a:srgbClr val="FF0000"/>
              </a:solidFill>
            </a:rPr>
            <a:t>own saved searches</a:t>
          </a:r>
          <a:endParaRPr lang="en-GB" sz="1600" b="1">
            <a:solidFill>
              <a:srgbClr val="FF0000"/>
            </a:solidFill>
          </a:endParaRP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5292</xdr:colOff>
      <xdr:row>0</xdr:row>
      <xdr:rowOff>5291</xdr:rowOff>
    </xdr:from>
    <xdr:to>
      <xdr:col>26</xdr:col>
      <xdr:colOff>119459</xdr:colOff>
      <xdr:row>1</xdr:row>
      <xdr:rowOff>143041</xdr:rowOff>
    </xdr:to>
    <xdr:sp macro="" textlink="">
      <xdr:nvSpPr>
        <xdr:cNvPr id="5" name="com_bar"/>
        <xdr:cNvSpPr>
          <a:spLocks noChangeArrowheads="1"/>
        </xdr:cNvSpPr>
      </xdr:nvSpPr>
      <xdr:spPr bwMode="auto">
        <a:xfrm>
          <a:off x="5292" y="5291"/>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Bloomberg's Interpolation Formula</a:t>
          </a:r>
          <a:endParaRPr lang="en-US" sz="1800" b="1" i="0" u="none" strike="noStrike" baseline="0">
            <a:solidFill>
              <a:srgbClr val="000000"/>
            </a:solidFill>
            <a:latin typeface="+mn-lt"/>
            <a:cs typeface="Angsana New" pitchFamily="18" charset="-34"/>
          </a:endParaRPr>
        </a:p>
      </xdr:txBody>
    </xdr:sp>
    <xdr:clientData/>
  </xdr:twoCellAnchor>
  <xdr:twoCellAnchor>
    <xdr:from>
      <xdr:col>4</xdr:col>
      <xdr:colOff>38100</xdr:colOff>
      <xdr:row>32</xdr:row>
      <xdr:rowOff>161925</xdr:rowOff>
    </xdr:from>
    <xdr:to>
      <xdr:col>4</xdr:col>
      <xdr:colOff>228600</xdr:colOff>
      <xdr:row>34</xdr:row>
      <xdr:rowOff>19050</xdr:rowOff>
    </xdr:to>
    <xdr:sp macro="" textlink="">
      <xdr:nvSpPr>
        <xdr:cNvPr id="4442914" name="Right Arrow 19"/>
        <xdr:cNvSpPr>
          <a:spLocks noChangeArrowheads="1"/>
        </xdr:cNvSpPr>
      </xdr:nvSpPr>
      <xdr:spPr bwMode="auto">
        <a:xfrm>
          <a:off x="2628900" y="6553200"/>
          <a:ext cx="190500" cy="238125"/>
        </a:xfrm>
        <a:prstGeom prst="rightArrow">
          <a:avLst>
            <a:gd name="adj1" fmla="val 66000"/>
            <a:gd name="adj2" fmla="val 50000"/>
          </a:avLst>
        </a:prstGeom>
        <a:solidFill>
          <a:srgbClr val="DBEEF4"/>
        </a:solidFill>
        <a:ln w="9525" algn="ctr">
          <a:solidFill>
            <a:srgbClr val="000000"/>
          </a:solidFill>
          <a:round/>
          <a:headEnd/>
          <a:tailEnd/>
        </a:ln>
      </xdr:spPr>
    </xdr:sp>
    <xdr:clientData/>
  </xdr:twoCellAnchor>
  <xdr:twoCellAnchor>
    <xdr:from>
      <xdr:col>2</xdr:col>
      <xdr:colOff>95250</xdr:colOff>
      <xdr:row>67</xdr:row>
      <xdr:rowOff>57150</xdr:rowOff>
    </xdr:from>
    <xdr:to>
      <xdr:col>2</xdr:col>
      <xdr:colOff>647700</xdr:colOff>
      <xdr:row>68</xdr:row>
      <xdr:rowOff>142875</xdr:rowOff>
    </xdr:to>
    <xdr:sp macro="" textlink="">
      <xdr:nvSpPr>
        <xdr:cNvPr id="4442915" name="Right Brace 2"/>
        <xdr:cNvSpPr>
          <a:spLocks/>
        </xdr:cNvSpPr>
      </xdr:nvSpPr>
      <xdr:spPr bwMode="auto">
        <a:xfrm rot="5400000">
          <a:off x="1433512" y="13006388"/>
          <a:ext cx="276225" cy="552450"/>
        </a:xfrm>
        <a:prstGeom prst="rightBrace">
          <a:avLst>
            <a:gd name="adj1" fmla="val 8241"/>
            <a:gd name="adj2" fmla="val 50000"/>
          </a:avLst>
        </a:prstGeom>
        <a:solidFill>
          <a:srgbClr val="FFFFFF"/>
        </a:solidFill>
        <a:ln w="9525" algn="ctr">
          <a:solidFill>
            <a:srgbClr val="000000"/>
          </a:solidFill>
          <a:round/>
          <a:headEnd/>
          <a:tailEnd/>
        </a:ln>
      </xdr:spPr>
    </xdr:sp>
    <xdr:clientData/>
  </xdr:twoCellAnchor>
  <xdr:twoCellAnchor>
    <xdr:from>
      <xdr:col>8</xdr:col>
      <xdr:colOff>152400</xdr:colOff>
      <xdr:row>51</xdr:row>
      <xdr:rowOff>57150</xdr:rowOff>
    </xdr:from>
    <xdr:to>
      <xdr:col>11</xdr:col>
      <xdr:colOff>704850</xdr:colOff>
      <xdr:row>52</xdr:row>
      <xdr:rowOff>133350</xdr:rowOff>
    </xdr:to>
    <xdr:sp macro="" textlink="">
      <xdr:nvSpPr>
        <xdr:cNvPr id="4442916" name="Right Brace 3"/>
        <xdr:cNvSpPr>
          <a:spLocks/>
        </xdr:cNvSpPr>
      </xdr:nvSpPr>
      <xdr:spPr bwMode="auto">
        <a:xfrm rot="5400000">
          <a:off x="6896100" y="8610600"/>
          <a:ext cx="266700" cy="3238500"/>
        </a:xfrm>
        <a:prstGeom prst="rightBrace">
          <a:avLst>
            <a:gd name="adj1" fmla="val 8208"/>
            <a:gd name="adj2" fmla="val 50000"/>
          </a:avLst>
        </a:prstGeom>
        <a:solidFill>
          <a:srgbClr val="FFFFFF"/>
        </a:solidFill>
        <a:ln w="9525" algn="ctr">
          <a:solidFill>
            <a:srgbClr val="000000"/>
          </a:solidFill>
          <a:round/>
          <a:headEnd/>
          <a:tailEnd/>
        </a:ln>
      </xdr:spPr>
    </xdr:sp>
    <xdr:clientData/>
  </xdr:twoCellAnchor>
  <xdr:twoCellAnchor>
    <xdr:from>
      <xdr:col>12</xdr:col>
      <xdr:colOff>114300</xdr:colOff>
      <xdr:row>51</xdr:row>
      <xdr:rowOff>57150</xdr:rowOff>
    </xdr:from>
    <xdr:to>
      <xdr:col>12</xdr:col>
      <xdr:colOff>733425</xdr:colOff>
      <xdr:row>52</xdr:row>
      <xdr:rowOff>133350</xdr:rowOff>
    </xdr:to>
    <xdr:sp macro="" textlink="">
      <xdr:nvSpPr>
        <xdr:cNvPr id="4442917" name="Right Brace 4"/>
        <xdr:cNvSpPr>
          <a:spLocks/>
        </xdr:cNvSpPr>
      </xdr:nvSpPr>
      <xdr:spPr bwMode="auto">
        <a:xfrm rot="5400000">
          <a:off x="9034463" y="9920287"/>
          <a:ext cx="266700" cy="619125"/>
        </a:xfrm>
        <a:prstGeom prst="rightBrace">
          <a:avLst>
            <a:gd name="adj1" fmla="val 8480"/>
            <a:gd name="adj2" fmla="val 50000"/>
          </a:avLst>
        </a:prstGeom>
        <a:solidFill>
          <a:srgbClr val="FFFFFF"/>
        </a:solidFill>
        <a:ln w="9525" algn="ctr">
          <a:solidFill>
            <a:srgbClr val="000000"/>
          </a:solidFill>
          <a:round/>
          <a:headEnd/>
          <a:tailEnd/>
        </a:ln>
      </xdr:spPr>
    </xdr:sp>
    <xdr:clientData/>
  </xdr:twoCellAnchor>
  <xdr:twoCellAnchor>
    <xdr:from>
      <xdr:col>6</xdr:col>
      <xdr:colOff>95250</xdr:colOff>
      <xdr:row>51</xdr:row>
      <xdr:rowOff>57150</xdr:rowOff>
    </xdr:from>
    <xdr:to>
      <xdr:col>7</xdr:col>
      <xdr:colOff>542925</xdr:colOff>
      <xdr:row>52</xdr:row>
      <xdr:rowOff>133350</xdr:rowOff>
    </xdr:to>
    <xdr:sp macro="" textlink="">
      <xdr:nvSpPr>
        <xdr:cNvPr id="4442918" name="Right Brace 7"/>
        <xdr:cNvSpPr>
          <a:spLocks/>
        </xdr:cNvSpPr>
      </xdr:nvSpPr>
      <xdr:spPr bwMode="auto">
        <a:xfrm rot="5400000">
          <a:off x="4329113" y="9567862"/>
          <a:ext cx="266700" cy="1323975"/>
        </a:xfrm>
        <a:prstGeom prst="rightBrace">
          <a:avLst>
            <a:gd name="adj1" fmla="val 10181"/>
            <a:gd name="adj2" fmla="val 50000"/>
          </a:avLst>
        </a:prstGeom>
        <a:solidFill>
          <a:srgbClr val="FFFFFF"/>
        </a:solidFill>
        <a:ln w="9525" algn="ctr">
          <a:solidFill>
            <a:srgbClr val="000000"/>
          </a:solidFill>
          <a:round/>
          <a:headEnd/>
          <a:tailEnd/>
        </a:ln>
      </xdr:spPr>
    </xdr:sp>
    <xdr:clientData/>
  </xdr:twoCellAnchor>
  <xdr:twoCellAnchor>
    <xdr:from>
      <xdr:col>5</xdr:col>
      <xdr:colOff>47625</xdr:colOff>
      <xdr:row>51</xdr:row>
      <xdr:rowOff>57150</xdr:rowOff>
    </xdr:from>
    <xdr:to>
      <xdr:col>5</xdr:col>
      <xdr:colOff>819150</xdr:colOff>
      <xdr:row>52</xdr:row>
      <xdr:rowOff>133350</xdr:rowOff>
    </xdr:to>
    <xdr:sp macro="" textlink="">
      <xdr:nvSpPr>
        <xdr:cNvPr id="4442919" name="Right Brace 8"/>
        <xdr:cNvSpPr>
          <a:spLocks/>
        </xdr:cNvSpPr>
      </xdr:nvSpPr>
      <xdr:spPr bwMode="auto">
        <a:xfrm rot="5400000">
          <a:off x="3148013" y="9844087"/>
          <a:ext cx="266700" cy="771525"/>
        </a:xfrm>
        <a:prstGeom prst="rightBrace">
          <a:avLst>
            <a:gd name="adj1" fmla="val 6348"/>
            <a:gd name="adj2" fmla="val 50000"/>
          </a:avLst>
        </a:prstGeom>
        <a:solidFill>
          <a:srgbClr val="FFFFFF"/>
        </a:solidFill>
        <a:ln w="9525" algn="ctr">
          <a:solidFill>
            <a:srgbClr val="000000"/>
          </a:solidFill>
          <a:round/>
          <a:headEnd/>
          <a:tailEnd/>
        </a:ln>
      </xdr:spPr>
    </xdr:sp>
    <xdr:clientData/>
  </xdr:twoCellAnchor>
  <xdr:twoCellAnchor>
    <xdr:from>
      <xdr:col>3</xdr:col>
      <xdr:colOff>95250</xdr:colOff>
      <xdr:row>67</xdr:row>
      <xdr:rowOff>57150</xdr:rowOff>
    </xdr:from>
    <xdr:to>
      <xdr:col>3</xdr:col>
      <xdr:colOff>647700</xdr:colOff>
      <xdr:row>68</xdr:row>
      <xdr:rowOff>142875</xdr:rowOff>
    </xdr:to>
    <xdr:sp macro="" textlink="">
      <xdr:nvSpPr>
        <xdr:cNvPr id="4442920" name="Right Brace 2"/>
        <xdr:cNvSpPr>
          <a:spLocks/>
        </xdr:cNvSpPr>
      </xdr:nvSpPr>
      <xdr:spPr bwMode="auto">
        <a:xfrm rot="5400000">
          <a:off x="2090737" y="13006388"/>
          <a:ext cx="276225" cy="552450"/>
        </a:xfrm>
        <a:prstGeom prst="rightBrace">
          <a:avLst>
            <a:gd name="adj1" fmla="val 8241"/>
            <a:gd name="adj2" fmla="val 50000"/>
          </a:avLst>
        </a:prstGeom>
        <a:solidFill>
          <a:srgbClr val="FFFFFF"/>
        </a:solidFill>
        <a:ln w="9525" algn="ctr">
          <a:solidFill>
            <a:srgbClr val="000000"/>
          </a:solidFill>
          <a:round/>
          <a:headEnd/>
          <a:tailEnd/>
        </a:ln>
      </xdr:spPr>
    </xdr:sp>
    <xdr:clientData/>
  </xdr:twoCellAnchor>
  <xdr:twoCellAnchor>
    <xdr:from>
      <xdr:col>13</xdr:col>
      <xdr:colOff>180975</xdr:colOff>
      <xdr:row>51</xdr:row>
      <xdr:rowOff>66675</xdr:rowOff>
    </xdr:from>
    <xdr:to>
      <xdr:col>13</xdr:col>
      <xdr:colOff>800100</xdr:colOff>
      <xdr:row>52</xdr:row>
      <xdr:rowOff>142875</xdr:rowOff>
    </xdr:to>
    <xdr:sp macro="" textlink="">
      <xdr:nvSpPr>
        <xdr:cNvPr id="4442921" name="Right Brace 4"/>
        <xdr:cNvSpPr>
          <a:spLocks/>
        </xdr:cNvSpPr>
      </xdr:nvSpPr>
      <xdr:spPr bwMode="auto">
        <a:xfrm rot="5400000">
          <a:off x="9920288" y="9929812"/>
          <a:ext cx="266700" cy="619125"/>
        </a:xfrm>
        <a:prstGeom prst="rightBrace">
          <a:avLst>
            <a:gd name="adj1" fmla="val 8480"/>
            <a:gd name="adj2" fmla="val 50000"/>
          </a:avLst>
        </a:prstGeom>
        <a:solidFill>
          <a:srgbClr val="FFFFFF"/>
        </a:solidFill>
        <a:ln w="9525" algn="ctr">
          <a:solidFill>
            <a:srgbClr val="000000"/>
          </a:solidFill>
          <a:round/>
          <a:headEnd/>
          <a:tailEnd/>
        </a:ln>
      </xdr:spPr>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0</xdr:row>
      <xdr:rowOff>0</xdr:rowOff>
    </xdr:from>
    <xdr:to>
      <xdr:col>16</xdr:col>
      <xdr:colOff>198833</xdr:colOff>
      <xdr:row>1</xdr:row>
      <xdr:rowOff>137750</xdr:rowOff>
    </xdr:to>
    <xdr:sp macro="" textlink="">
      <xdr:nvSpPr>
        <xdr:cNvPr id="7"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mn-lt"/>
              <a:cs typeface="+mn-cs"/>
            </a:rPr>
            <a:t>Returns a Date given a Start Date or Number of Periods (Days, Month Years)</a:t>
          </a:r>
          <a:endParaRPr lang="en-US" sz="1800" b="1" i="0" u="none" strike="noStrike" baseline="0">
            <a:solidFill>
              <a:srgbClr val="000000"/>
            </a:solidFill>
            <a:latin typeface="+mn-lt"/>
            <a:cs typeface="Angsana New" pitchFamily="18" charset="-34"/>
          </a:endParaRPr>
        </a:p>
      </xdr:txBody>
    </xdr:sp>
    <xdr:clientData/>
  </xdr:twoCellAnchor>
  <xdr:twoCellAnchor>
    <xdr:from>
      <xdr:col>5</xdr:col>
      <xdr:colOff>1371600</xdr:colOff>
      <xdr:row>42</xdr:row>
      <xdr:rowOff>152400</xdr:rowOff>
    </xdr:from>
    <xdr:to>
      <xdr:col>6</xdr:col>
      <xdr:colOff>66675</xdr:colOff>
      <xdr:row>43</xdr:row>
      <xdr:rowOff>114300</xdr:rowOff>
    </xdr:to>
    <xdr:cxnSp macro="">
      <xdr:nvCxnSpPr>
        <xdr:cNvPr id="3" name="Straight Arrow Connector 2"/>
        <xdr:cNvCxnSpPr/>
      </xdr:nvCxnSpPr>
      <xdr:spPr>
        <a:xfrm flipH="1">
          <a:off x="6115050" y="8258175"/>
          <a:ext cx="219075" cy="152400"/>
        </a:xfrm>
        <a:prstGeom prst="straightConnector1">
          <a:avLst/>
        </a:prstGeom>
        <a:ln w="6350">
          <a:solidFill>
            <a:schemeClr val="bg1">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123825</xdr:colOff>
      <xdr:row>47</xdr:row>
      <xdr:rowOff>19050</xdr:rowOff>
    </xdr:from>
    <xdr:to>
      <xdr:col>15</xdr:col>
      <xdr:colOff>180975</xdr:colOff>
      <xdr:row>63</xdr:row>
      <xdr:rowOff>0</xdr:rowOff>
    </xdr:to>
    <xdr:grpSp>
      <xdr:nvGrpSpPr>
        <xdr:cNvPr id="3454845" name="Group 4"/>
        <xdr:cNvGrpSpPr>
          <a:grpSpLocks/>
        </xdr:cNvGrpSpPr>
      </xdr:nvGrpSpPr>
      <xdr:grpSpPr bwMode="auto">
        <a:xfrm>
          <a:off x="11193992" y="9078383"/>
          <a:ext cx="5666316" cy="3028950"/>
          <a:chOff x="11197167" y="9080496"/>
          <a:chExt cx="5662083" cy="3026838"/>
        </a:xfrm>
      </xdr:grpSpPr>
      <xdr:pic>
        <xdr:nvPicPr>
          <xdr:cNvPr id="3454846"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97167" y="9080496"/>
            <a:ext cx="5662083" cy="3023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4" name="Rectangle 3"/>
          <xdr:cNvSpPr/>
        </xdr:nvSpPr>
        <xdr:spPr>
          <a:xfrm>
            <a:off x="16118239" y="9537377"/>
            <a:ext cx="266004" cy="256995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0</xdr:row>
      <xdr:rowOff>0</xdr:rowOff>
    </xdr:from>
    <xdr:to>
      <xdr:col>21</xdr:col>
      <xdr:colOff>40083</xdr:colOff>
      <xdr:row>1</xdr:row>
      <xdr:rowOff>137750</xdr:rowOff>
    </xdr:to>
    <xdr:sp macro="" textlink="">
      <xdr:nvSpPr>
        <xdr:cNvPr id="6"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mn-lt"/>
            </a:rPr>
            <a:t>Returns Number of Days or Years Between 2 Dates</a:t>
          </a:r>
          <a:endParaRPr lang="en-US" sz="1800" b="1" i="0" u="none" strike="noStrike" baseline="0">
            <a:solidFill>
              <a:srgbClr val="000000"/>
            </a:solidFill>
            <a:latin typeface="+mn-lt"/>
            <a:cs typeface="Angsana New" pitchFamily="18" charset="-34"/>
          </a:endParaRPr>
        </a:p>
      </xdr:txBody>
    </xdr:sp>
    <xdr:clientData/>
  </xdr:twoCellAnchor>
  <xdr:twoCellAnchor>
    <xdr:from>
      <xdr:col>3</xdr:col>
      <xdr:colOff>31752</xdr:colOff>
      <xdr:row>60</xdr:row>
      <xdr:rowOff>105832</xdr:rowOff>
    </xdr:from>
    <xdr:to>
      <xdr:col>4</xdr:col>
      <xdr:colOff>0</xdr:colOff>
      <xdr:row>64</xdr:row>
      <xdr:rowOff>52915</xdr:rowOff>
    </xdr:to>
    <xdr:cxnSp macro="">
      <xdr:nvCxnSpPr>
        <xdr:cNvPr id="4" name="Elbow Connector 3"/>
        <xdr:cNvCxnSpPr/>
      </xdr:nvCxnSpPr>
      <xdr:spPr>
        <a:xfrm flipV="1">
          <a:off x="2487085" y="11408832"/>
          <a:ext cx="783165" cy="709083"/>
        </a:xfrm>
        <a:prstGeom prst="bentConnector3">
          <a:avLst>
            <a:gd name="adj1" fmla="val 18919"/>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104775</xdr:colOff>
      <xdr:row>39</xdr:row>
      <xdr:rowOff>28575</xdr:rowOff>
    </xdr:from>
    <xdr:to>
      <xdr:col>18</xdr:col>
      <xdr:colOff>381000</xdr:colOff>
      <xdr:row>55</xdr:row>
      <xdr:rowOff>9525</xdr:rowOff>
    </xdr:to>
    <xdr:grpSp>
      <xdr:nvGrpSpPr>
        <xdr:cNvPr id="4443503" name="Group 4"/>
        <xdr:cNvGrpSpPr>
          <a:grpSpLocks/>
        </xdr:cNvGrpSpPr>
      </xdr:nvGrpSpPr>
      <xdr:grpSpPr bwMode="auto">
        <a:xfrm>
          <a:off x="10836275" y="7637992"/>
          <a:ext cx="5663142" cy="3028950"/>
          <a:chOff x="11197167" y="9080496"/>
          <a:chExt cx="5662083" cy="3026838"/>
        </a:xfrm>
        <a:effectLst>
          <a:outerShdw blurRad="50800" dist="38100" dir="2700000" algn="tl" rotWithShape="0">
            <a:prstClr val="black">
              <a:alpha val="40000"/>
            </a:prstClr>
          </a:outerShdw>
        </a:effectLst>
      </xdr:grpSpPr>
      <xdr:pic>
        <xdr:nvPicPr>
          <xdr:cNvPr id="4443504"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97167" y="9080496"/>
            <a:ext cx="5662083" cy="3023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8" name="Rectangle 7"/>
          <xdr:cNvSpPr/>
        </xdr:nvSpPr>
        <xdr:spPr>
          <a:xfrm>
            <a:off x="16122797" y="9537377"/>
            <a:ext cx="258237" cy="256995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0</xdr:row>
      <xdr:rowOff>0</xdr:rowOff>
    </xdr:from>
    <xdr:to>
      <xdr:col>26</xdr:col>
      <xdr:colOff>209417</xdr:colOff>
      <xdr:row>1</xdr:row>
      <xdr:rowOff>137750</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mn-lt"/>
            </a:rPr>
            <a:t>Realtime Intraday and Historical Bar Data</a:t>
          </a:r>
          <a:endParaRPr lang="en-US" sz="1800" b="1" i="0" u="none" strike="noStrike" baseline="0">
            <a:solidFill>
              <a:srgbClr val="000000"/>
            </a:solidFill>
            <a:latin typeface="+mn-lt"/>
            <a:cs typeface="Angsana New" pitchFamily="18" charset="-34"/>
          </a:endParaRPr>
        </a:p>
      </xdr:txBody>
    </xdr:sp>
    <xdr:clientData/>
  </xdr:twoCellAnchor>
  <xdr:twoCellAnchor>
    <xdr:from>
      <xdr:col>2</xdr:col>
      <xdr:colOff>819150</xdr:colOff>
      <xdr:row>16</xdr:row>
      <xdr:rowOff>35983</xdr:rowOff>
    </xdr:from>
    <xdr:to>
      <xdr:col>2</xdr:col>
      <xdr:colOff>988483</xdr:colOff>
      <xdr:row>16</xdr:row>
      <xdr:rowOff>184150</xdr:rowOff>
    </xdr:to>
    <xdr:sp macro="" textlink="">
      <xdr:nvSpPr>
        <xdr:cNvPr id="6" name="5-Point Star 5"/>
        <xdr:cNvSpPr/>
      </xdr:nvSpPr>
      <xdr:spPr>
        <a:xfrm>
          <a:off x="2681817" y="3200400"/>
          <a:ext cx="169333" cy="148167"/>
        </a:xfrm>
        <a:prstGeom prst="star5">
          <a:avLst/>
        </a:prstGeom>
        <a:solidFill>
          <a:srgbClr val="FF000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29633</xdr:colOff>
      <xdr:row>25</xdr:row>
      <xdr:rowOff>19055</xdr:rowOff>
    </xdr:from>
    <xdr:to>
      <xdr:col>1</xdr:col>
      <xdr:colOff>198966</xdr:colOff>
      <xdr:row>25</xdr:row>
      <xdr:rowOff>167222</xdr:rowOff>
    </xdr:to>
    <xdr:sp macro="" textlink="">
      <xdr:nvSpPr>
        <xdr:cNvPr id="7" name="5-Point Star 6"/>
        <xdr:cNvSpPr/>
      </xdr:nvSpPr>
      <xdr:spPr>
        <a:xfrm>
          <a:off x="273050" y="4887388"/>
          <a:ext cx="169333" cy="148167"/>
        </a:xfrm>
        <a:prstGeom prst="star5">
          <a:avLst/>
        </a:prstGeom>
        <a:solidFill>
          <a:srgbClr val="FF000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0</xdr:rowOff>
    </xdr:from>
    <xdr:to>
      <xdr:col>26</xdr:col>
      <xdr:colOff>304667</xdr:colOff>
      <xdr:row>1</xdr:row>
      <xdr:rowOff>137750</xdr:rowOff>
    </xdr:to>
    <xdr:sp macro="" textlink="">
      <xdr:nvSpPr>
        <xdr:cNvPr id="5"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Equity Search Result from EQS &lt;go&gt; into Excel </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28575</xdr:colOff>
      <xdr:row>9</xdr:row>
      <xdr:rowOff>19050</xdr:rowOff>
    </xdr:from>
    <xdr:to>
      <xdr:col>17</xdr:col>
      <xdr:colOff>276225</xdr:colOff>
      <xdr:row>68</xdr:row>
      <xdr:rowOff>161925</xdr:rowOff>
    </xdr:to>
    <xdr:grpSp>
      <xdr:nvGrpSpPr>
        <xdr:cNvPr id="4445927" name="Group 2899523"/>
        <xdr:cNvGrpSpPr>
          <a:grpSpLocks/>
        </xdr:cNvGrpSpPr>
      </xdr:nvGrpSpPr>
      <xdr:grpSpPr bwMode="auto">
        <a:xfrm>
          <a:off x="271992" y="1839383"/>
          <a:ext cx="12259733" cy="11382375"/>
          <a:chOff x="276225" y="1838324"/>
          <a:chExt cx="12217123" cy="11381622"/>
        </a:xfrm>
      </xdr:grpSpPr>
      <xdr:pic>
        <xdr:nvPicPr>
          <xdr:cNvPr id="4005533" name="Picture 29"/>
          <xdr:cNvPicPr>
            <a:picLocks noChangeAspect="1"/>
          </xdr:cNvPicPr>
        </xdr:nvPicPr>
        <xdr:blipFill>
          <a:blip xmlns:r="http://schemas.openxmlformats.org/officeDocument/2006/relationships" r:embed="rId1"/>
          <a:srcRect/>
          <a:stretch>
            <a:fillRect/>
          </a:stretch>
        </xdr:blipFill>
        <xdr:spPr bwMode="auto">
          <a:xfrm>
            <a:off x="1257023" y="7191020"/>
            <a:ext cx="11236325" cy="6028926"/>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445930" name="Group 26"/>
          <xdr:cNvGrpSpPr>
            <a:grpSpLocks/>
          </xdr:cNvGrpSpPr>
        </xdr:nvGrpSpPr>
        <xdr:grpSpPr bwMode="auto">
          <a:xfrm>
            <a:off x="276225" y="1838324"/>
            <a:ext cx="8255843" cy="8150744"/>
            <a:chOff x="266700" y="1838325"/>
            <a:chExt cx="8921291" cy="8725176"/>
          </a:xfrm>
        </xdr:grpSpPr>
        <xdr:grpSp>
          <xdr:nvGrpSpPr>
            <xdr:cNvPr id="4445931" name="Group 14"/>
            <xdr:cNvGrpSpPr>
              <a:grpSpLocks/>
            </xdr:cNvGrpSpPr>
          </xdr:nvGrpSpPr>
          <xdr:grpSpPr bwMode="auto">
            <a:xfrm>
              <a:off x="266700" y="1838325"/>
              <a:ext cx="8921291" cy="5087609"/>
              <a:chOff x="266700" y="1838325"/>
              <a:chExt cx="8921291" cy="5087609"/>
            </a:xfrm>
          </xdr:grpSpPr>
          <xdr:pic>
            <xdr:nvPicPr>
              <xdr:cNvPr id="4005537" name="Picture 1"/>
              <xdr:cNvPicPr>
                <a:picLocks noChangeAspect="1"/>
              </xdr:cNvPicPr>
            </xdr:nvPicPr>
            <xdr:blipFill>
              <a:blip xmlns:r="http://schemas.openxmlformats.org/officeDocument/2006/relationships" r:embed="rId2"/>
              <a:srcRect/>
              <a:stretch>
                <a:fillRect/>
              </a:stretch>
            </xdr:blipFill>
            <xdr:spPr bwMode="auto">
              <a:xfrm>
                <a:off x="276990" y="1838325"/>
                <a:ext cx="8911000" cy="5087609"/>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4" name="Rectangle 3"/>
              <xdr:cNvSpPr/>
            </xdr:nvSpPr>
            <xdr:spPr>
              <a:xfrm>
                <a:off x="266700" y="2225758"/>
                <a:ext cx="1811012" cy="19371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xnSp macro="">
          <xdr:nvCxnSpPr>
            <xdr:cNvPr id="25" name="Elbow Connector 24"/>
            <xdr:cNvCxnSpPr/>
          </xdr:nvCxnSpPr>
          <xdr:spPr>
            <a:xfrm rot="16200000" flipH="1">
              <a:off x="-1508296" y="5821961"/>
              <a:ext cx="8327548" cy="1155532"/>
            </a:xfrm>
            <a:prstGeom prst="bentConnector3">
              <a:avLst>
                <a:gd name="adj1" fmla="val 50000"/>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4</xdr:col>
      <xdr:colOff>147210</xdr:colOff>
      <xdr:row>44</xdr:row>
      <xdr:rowOff>36970</xdr:rowOff>
    </xdr:from>
    <xdr:to>
      <xdr:col>6</xdr:col>
      <xdr:colOff>555531</xdr:colOff>
      <xdr:row>49</xdr:row>
      <xdr:rowOff>164385</xdr:rowOff>
    </xdr:to>
    <xdr:sp macro="" textlink="">
      <xdr:nvSpPr>
        <xdr:cNvPr id="10" name="TextBox 9"/>
        <xdr:cNvSpPr txBox="1"/>
      </xdr:nvSpPr>
      <xdr:spPr>
        <a:xfrm rot="961573">
          <a:off x="3332793" y="8524803"/>
          <a:ext cx="2154571" cy="107991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400" b="1">
              <a:solidFill>
                <a:srgbClr val="FF0000"/>
              </a:solidFill>
            </a:rPr>
            <a:t>This is a screen </a:t>
          </a:r>
          <a:br>
            <a:rPr lang="en-GB" sz="1400" b="1">
              <a:solidFill>
                <a:srgbClr val="FF0000"/>
              </a:solidFill>
            </a:rPr>
          </a:br>
          <a:r>
            <a:rPr lang="en-GB" sz="1400" b="1">
              <a:solidFill>
                <a:srgbClr val="FF0000"/>
              </a:solidFill>
            </a:rPr>
            <a:t>shot of my</a:t>
          </a:r>
          <a:r>
            <a:rPr lang="en-GB" sz="1400" b="1" baseline="0">
              <a:solidFill>
                <a:srgbClr val="FF0000"/>
              </a:solidFill>
            </a:rPr>
            <a:t> search.</a:t>
          </a:r>
          <a:br>
            <a:rPr lang="en-GB" sz="1400" b="1" baseline="0">
              <a:solidFill>
                <a:srgbClr val="FF0000"/>
              </a:solidFill>
            </a:rPr>
          </a:br>
          <a:r>
            <a:rPr lang="en-GB" sz="1400" b="1" baseline="0">
              <a:solidFill>
                <a:srgbClr val="FF0000"/>
              </a:solidFill>
            </a:rPr>
            <a:t>Please  use your saved searches in EQS &lt;go&gt;</a:t>
          </a:r>
          <a:endParaRPr lang="en-GB" sz="1400" b="1">
            <a:solidFill>
              <a:srgbClr val="FF0000"/>
            </a:solidFill>
          </a:endParaRPr>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0</xdr:rowOff>
    </xdr:from>
    <xdr:to>
      <xdr:col>17</xdr:col>
      <xdr:colOff>548083</xdr:colOff>
      <xdr:row>1</xdr:row>
      <xdr:rowOff>137750</xdr:rowOff>
    </xdr:to>
    <xdr:sp macro="" textlink="">
      <xdr:nvSpPr>
        <xdr:cNvPr id="2"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Realtime Technical Analysis Datapoint</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47625</xdr:colOff>
      <xdr:row>53</xdr:row>
      <xdr:rowOff>76200</xdr:rowOff>
    </xdr:from>
    <xdr:to>
      <xdr:col>7</xdr:col>
      <xdr:colOff>600075</xdr:colOff>
      <xdr:row>88</xdr:row>
      <xdr:rowOff>161925</xdr:rowOff>
    </xdr:to>
    <xdr:grpSp>
      <xdr:nvGrpSpPr>
        <xdr:cNvPr id="4447102" name="Group 16"/>
        <xdr:cNvGrpSpPr>
          <a:grpSpLocks/>
        </xdr:cNvGrpSpPr>
      </xdr:nvGrpSpPr>
      <xdr:grpSpPr bwMode="auto">
        <a:xfrm>
          <a:off x="291042" y="10352617"/>
          <a:ext cx="8299450" cy="6753225"/>
          <a:chOff x="295275" y="10039350"/>
          <a:chExt cx="8263470" cy="6757321"/>
        </a:xfrm>
      </xdr:grpSpPr>
      <xdr:pic>
        <xdr:nvPicPr>
          <xdr:cNvPr id="11" name="Picture 10"/>
          <xdr:cNvPicPr>
            <a:picLocks noChangeAspect="1"/>
          </xdr:cNvPicPr>
        </xdr:nvPicPr>
        <xdr:blipFill>
          <a:blip xmlns:r="http://schemas.openxmlformats.org/officeDocument/2006/relationships" r:embed="rId1"/>
          <a:stretch>
            <a:fillRect/>
          </a:stretch>
        </xdr:blipFill>
        <xdr:spPr>
          <a:xfrm>
            <a:off x="295275" y="10048881"/>
            <a:ext cx="7692262" cy="3964803"/>
          </a:xfrm>
          <a:prstGeom prst="rect">
            <a:avLst/>
          </a:prstGeom>
          <a:effectLst>
            <a:outerShdw blurRad="50800" dist="38100" dir="2700000" algn="tl" rotWithShape="0">
              <a:prstClr val="black">
                <a:alpha val="40000"/>
              </a:prstClr>
            </a:outerShdw>
          </a:effectLst>
        </xdr:spPr>
      </xdr:pic>
      <xdr:grpSp>
        <xdr:nvGrpSpPr>
          <xdr:cNvPr id="4447107" name="Group 15"/>
          <xdr:cNvGrpSpPr>
            <a:grpSpLocks/>
          </xdr:cNvGrpSpPr>
        </xdr:nvGrpSpPr>
        <xdr:grpSpPr bwMode="auto">
          <a:xfrm>
            <a:off x="295275" y="10039350"/>
            <a:ext cx="8263470" cy="6757321"/>
            <a:chOff x="295275" y="10039350"/>
            <a:chExt cx="8263470" cy="6757321"/>
          </a:xfrm>
        </xdr:grpSpPr>
        <xdr:pic>
          <xdr:nvPicPr>
            <xdr:cNvPr id="10" name="Picture 9"/>
            <xdr:cNvPicPr>
              <a:picLocks noChangeAspect="1"/>
            </xdr:cNvPicPr>
          </xdr:nvPicPr>
          <xdr:blipFill>
            <a:blip xmlns:r="http://schemas.openxmlformats.org/officeDocument/2006/relationships" r:embed="rId2"/>
            <a:stretch>
              <a:fillRect/>
            </a:stretch>
          </xdr:blipFill>
          <xdr:spPr>
            <a:xfrm>
              <a:off x="876003" y="12688906"/>
              <a:ext cx="7682742" cy="4107765"/>
            </a:xfrm>
            <a:prstGeom prst="rect">
              <a:avLst/>
            </a:prstGeom>
            <a:ln>
              <a:solidFill>
                <a:schemeClr val="bg1"/>
              </a:solidFill>
            </a:ln>
            <a:effectLst>
              <a:outerShdw blurRad="50800" dist="38100" dir="2700000" algn="tl" rotWithShape="0">
                <a:prstClr val="black">
                  <a:alpha val="40000"/>
                </a:prstClr>
              </a:outerShdw>
            </a:effectLst>
          </xdr:spPr>
        </xdr:pic>
        <xdr:sp macro="" textlink="">
          <xdr:nvSpPr>
            <xdr:cNvPr id="31" name="Rectangle 30"/>
            <xdr:cNvSpPr/>
          </xdr:nvSpPr>
          <xdr:spPr>
            <a:xfrm>
              <a:off x="876003" y="12831868"/>
              <a:ext cx="714010" cy="19061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34" name="Rectangle 33"/>
            <xdr:cNvSpPr/>
          </xdr:nvSpPr>
          <xdr:spPr>
            <a:xfrm>
              <a:off x="295275" y="10039350"/>
              <a:ext cx="714010" cy="19061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clientData/>
  </xdr:twoCellAnchor>
  <xdr:twoCellAnchor>
    <xdr:from>
      <xdr:col>1</xdr:col>
      <xdr:colOff>0</xdr:colOff>
      <xdr:row>9</xdr:row>
      <xdr:rowOff>76200</xdr:rowOff>
    </xdr:from>
    <xdr:to>
      <xdr:col>5</xdr:col>
      <xdr:colOff>1085850</xdr:colOff>
      <xdr:row>24</xdr:row>
      <xdr:rowOff>28575</xdr:rowOff>
    </xdr:to>
    <xdr:grpSp>
      <xdr:nvGrpSpPr>
        <xdr:cNvPr id="4447103" name="Group 16"/>
        <xdr:cNvGrpSpPr>
          <a:grpSpLocks/>
        </xdr:cNvGrpSpPr>
      </xdr:nvGrpSpPr>
      <xdr:grpSpPr bwMode="auto">
        <a:xfrm>
          <a:off x="243417" y="1970617"/>
          <a:ext cx="6441016" cy="2809875"/>
          <a:chOff x="271026" y="1957618"/>
          <a:chExt cx="6448387" cy="2798330"/>
        </a:xfrm>
      </xdr:grpSpPr>
      <xdr:pic>
        <xdr:nvPicPr>
          <xdr:cNvPr id="14" name="Picture 13"/>
          <xdr:cNvPicPr>
            <a:picLocks noChangeAspect="1"/>
          </xdr:cNvPicPr>
        </xdr:nvPicPr>
        <xdr:blipFill>
          <a:blip xmlns:r="http://schemas.openxmlformats.org/officeDocument/2006/relationships" r:embed="rId3"/>
          <a:stretch>
            <a:fillRect/>
          </a:stretch>
        </xdr:blipFill>
        <xdr:spPr>
          <a:xfrm>
            <a:off x="271026" y="1957618"/>
            <a:ext cx="6448387" cy="2798330"/>
          </a:xfrm>
          <a:prstGeom prst="rect">
            <a:avLst/>
          </a:prstGeom>
          <a:ln>
            <a:solidFill>
              <a:schemeClr val="bg1">
                <a:lumMod val="65000"/>
              </a:schemeClr>
            </a:solidFill>
          </a:ln>
          <a:effectLst>
            <a:outerShdw blurRad="50800" dist="38100" dir="2700000" algn="tl" rotWithShape="0">
              <a:prstClr val="black">
                <a:alpha val="40000"/>
              </a:prstClr>
            </a:outerShdw>
          </a:effectLst>
        </xdr:spPr>
      </xdr:pic>
      <xdr:sp macro="" textlink="">
        <xdr:nvSpPr>
          <xdr:cNvPr id="15" name="Rectangle 14"/>
          <xdr:cNvSpPr/>
        </xdr:nvSpPr>
        <xdr:spPr>
          <a:xfrm>
            <a:off x="4432819" y="3427927"/>
            <a:ext cx="1148081" cy="208689"/>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0</xdr:row>
      <xdr:rowOff>0</xdr:rowOff>
    </xdr:from>
    <xdr:to>
      <xdr:col>17</xdr:col>
      <xdr:colOff>304667</xdr:colOff>
      <xdr:row>1</xdr:row>
      <xdr:rowOff>137750</xdr:rowOff>
    </xdr:to>
    <xdr:sp macro="" textlink="">
      <xdr:nvSpPr>
        <xdr:cNvPr id="2"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Historical Technical Analysis Datapoint</a:t>
          </a:r>
          <a:endParaRPr lang="en-US" sz="1800" b="1" i="0" u="none" strike="noStrike" baseline="0">
            <a:solidFill>
              <a:srgbClr val="000000"/>
            </a:solidFill>
            <a:latin typeface="+mn-lt"/>
            <a:cs typeface="Angsana New" pitchFamily="18" charset="-34"/>
          </a:endParaRPr>
        </a:p>
      </xdr:txBody>
    </xdr:sp>
    <xdr:clientData/>
  </xdr:twoCellAnchor>
  <xdr:twoCellAnchor>
    <xdr:from>
      <xdr:col>0</xdr:col>
      <xdr:colOff>238125</xdr:colOff>
      <xdr:row>9</xdr:row>
      <xdr:rowOff>76200</xdr:rowOff>
    </xdr:from>
    <xdr:to>
      <xdr:col>5</xdr:col>
      <xdr:colOff>1085850</xdr:colOff>
      <xdr:row>24</xdr:row>
      <xdr:rowOff>28575</xdr:rowOff>
    </xdr:to>
    <xdr:grpSp>
      <xdr:nvGrpSpPr>
        <xdr:cNvPr id="4448137" name="Group 16"/>
        <xdr:cNvGrpSpPr>
          <a:grpSpLocks/>
        </xdr:cNvGrpSpPr>
      </xdr:nvGrpSpPr>
      <xdr:grpSpPr bwMode="auto">
        <a:xfrm>
          <a:off x="238125" y="1970617"/>
          <a:ext cx="6446308" cy="2809875"/>
          <a:chOff x="249836" y="1947098"/>
          <a:chExt cx="6448387" cy="2798330"/>
        </a:xfrm>
      </xdr:grpSpPr>
      <xdr:pic>
        <xdr:nvPicPr>
          <xdr:cNvPr id="18" name="Picture 17"/>
          <xdr:cNvPicPr>
            <a:picLocks noChangeAspect="1"/>
          </xdr:cNvPicPr>
        </xdr:nvPicPr>
        <xdr:blipFill>
          <a:blip xmlns:r="http://schemas.openxmlformats.org/officeDocument/2006/relationships" r:embed="rId1"/>
          <a:stretch>
            <a:fillRect/>
          </a:stretch>
        </xdr:blipFill>
        <xdr:spPr>
          <a:xfrm>
            <a:off x="249836" y="1947098"/>
            <a:ext cx="6448387" cy="2798330"/>
          </a:xfrm>
          <a:prstGeom prst="rect">
            <a:avLst/>
          </a:prstGeom>
          <a:ln>
            <a:solidFill>
              <a:schemeClr val="bg1">
                <a:lumMod val="65000"/>
              </a:schemeClr>
            </a:solidFill>
          </a:ln>
          <a:effectLst>
            <a:outerShdw blurRad="50800" dist="38100" dir="2700000" algn="tl" rotWithShape="0">
              <a:prstClr val="black">
                <a:alpha val="40000"/>
              </a:prstClr>
            </a:outerShdw>
          </a:effectLst>
        </xdr:spPr>
      </xdr:pic>
      <xdr:sp macro="" textlink="">
        <xdr:nvSpPr>
          <xdr:cNvPr id="19" name="Rectangle 18"/>
          <xdr:cNvSpPr/>
        </xdr:nvSpPr>
        <xdr:spPr>
          <a:xfrm>
            <a:off x="4424570" y="3635582"/>
            <a:ext cx="1146380" cy="208689"/>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xdr:col>
      <xdr:colOff>0</xdr:colOff>
      <xdr:row>46</xdr:row>
      <xdr:rowOff>0</xdr:rowOff>
    </xdr:from>
    <xdr:to>
      <xdr:col>7</xdr:col>
      <xdr:colOff>304800</xdr:colOff>
      <xdr:row>80</xdr:row>
      <xdr:rowOff>123825</xdr:rowOff>
    </xdr:to>
    <xdr:grpSp>
      <xdr:nvGrpSpPr>
        <xdr:cNvPr id="4448138" name="Group 21"/>
        <xdr:cNvGrpSpPr>
          <a:grpSpLocks/>
        </xdr:cNvGrpSpPr>
      </xdr:nvGrpSpPr>
      <xdr:grpSpPr bwMode="auto">
        <a:xfrm>
          <a:off x="243417" y="8974667"/>
          <a:ext cx="8295216" cy="6770158"/>
          <a:chOff x="295275" y="10039350"/>
          <a:chExt cx="8263470" cy="6757321"/>
        </a:xfrm>
      </xdr:grpSpPr>
      <xdr:pic>
        <xdr:nvPicPr>
          <xdr:cNvPr id="23" name="Picture 22"/>
          <xdr:cNvPicPr>
            <a:picLocks noChangeAspect="1"/>
          </xdr:cNvPicPr>
        </xdr:nvPicPr>
        <xdr:blipFill>
          <a:blip xmlns:r="http://schemas.openxmlformats.org/officeDocument/2006/relationships" r:embed="rId2"/>
          <a:stretch>
            <a:fillRect/>
          </a:stretch>
        </xdr:blipFill>
        <xdr:spPr>
          <a:xfrm>
            <a:off x="295275" y="10048881"/>
            <a:ext cx="7692262" cy="3964803"/>
          </a:xfrm>
          <a:prstGeom prst="rect">
            <a:avLst/>
          </a:prstGeom>
          <a:effectLst>
            <a:outerShdw blurRad="50800" dist="38100" dir="2700000" algn="tl" rotWithShape="0">
              <a:prstClr val="black">
                <a:alpha val="40000"/>
              </a:prstClr>
            </a:outerShdw>
          </a:effectLst>
        </xdr:spPr>
      </xdr:pic>
      <xdr:grpSp>
        <xdr:nvGrpSpPr>
          <xdr:cNvPr id="4448140" name="Group 23"/>
          <xdr:cNvGrpSpPr>
            <a:grpSpLocks/>
          </xdr:cNvGrpSpPr>
        </xdr:nvGrpSpPr>
        <xdr:grpSpPr bwMode="auto">
          <a:xfrm>
            <a:off x="295275" y="10039350"/>
            <a:ext cx="8263470" cy="6757321"/>
            <a:chOff x="295275" y="10039350"/>
            <a:chExt cx="8263470" cy="6757321"/>
          </a:xfrm>
        </xdr:grpSpPr>
        <xdr:pic>
          <xdr:nvPicPr>
            <xdr:cNvPr id="25" name="Picture 24"/>
            <xdr:cNvPicPr>
              <a:picLocks noChangeAspect="1"/>
            </xdr:cNvPicPr>
          </xdr:nvPicPr>
          <xdr:blipFill>
            <a:blip xmlns:r="http://schemas.openxmlformats.org/officeDocument/2006/relationships" r:embed="rId3"/>
            <a:stretch>
              <a:fillRect/>
            </a:stretch>
          </xdr:blipFill>
          <xdr:spPr>
            <a:xfrm>
              <a:off x="876003" y="12688906"/>
              <a:ext cx="7682742" cy="4107765"/>
            </a:xfrm>
            <a:prstGeom prst="rect">
              <a:avLst/>
            </a:prstGeom>
            <a:ln>
              <a:solidFill>
                <a:schemeClr val="bg1"/>
              </a:solidFill>
            </a:ln>
            <a:effectLst>
              <a:outerShdw blurRad="50800" dist="38100" dir="2700000" algn="tl" rotWithShape="0">
                <a:prstClr val="black">
                  <a:alpha val="40000"/>
                </a:prstClr>
              </a:outerShdw>
            </a:effectLst>
          </xdr:spPr>
        </xdr:pic>
        <xdr:sp macro="" textlink="">
          <xdr:nvSpPr>
            <xdr:cNvPr id="26" name="Rectangle 25"/>
            <xdr:cNvSpPr/>
          </xdr:nvSpPr>
          <xdr:spPr>
            <a:xfrm>
              <a:off x="876003" y="12831868"/>
              <a:ext cx="714010" cy="19061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27" name="Rectangle 26"/>
            <xdr:cNvSpPr/>
          </xdr:nvSpPr>
          <xdr:spPr>
            <a:xfrm>
              <a:off x="295275" y="10039350"/>
              <a:ext cx="714010" cy="19061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grpSp>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38100</xdr:colOff>
      <xdr:row>8</xdr:row>
      <xdr:rowOff>114300</xdr:rowOff>
    </xdr:from>
    <xdr:to>
      <xdr:col>6</xdr:col>
      <xdr:colOff>304800</xdr:colOff>
      <xdr:row>20</xdr:row>
      <xdr:rowOff>0</xdr:rowOff>
    </xdr:to>
    <xdr:pic>
      <xdr:nvPicPr>
        <xdr:cNvPr id="4247097" name="Picture 15"/>
        <xdr:cNvPicPr>
          <a:picLocks noChangeAspect="1"/>
        </xdr:cNvPicPr>
      </xdr:nvPicPr>
      <xdr:blipFill>
        <a:blip xmlns:r="http://schemas.openxmlformats.org/officeDocument/2006/relationships" r:embed="rId1"/>
        <a:srcRect/>
        <a:stretch>
          <a:fillRect/>
        </a:stretch>
      </xdr:blipFill>
      <xdr:spPr bwMode="auto">
        <a:xfrm>
          <a:off x="285750" y="1971675"/>
          <a:ext cx="3667125" cy="22860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885825</xdr:colOff>
      <xdr:row>8</xdr:row>
      <xdr:rowOff>114300</xdr:rowOff>
    </xdr:from>
    <xdr:to>
      <xdr:col>10</xdr:col>
      <xdr:colOff>447675</xdr:colOff>
      <xdr:row>20</xdr:row>
      <xdr:rowOff>0</xdr:rowOff>
    </xdr:to>
    <xdr:pic>
      <xdr:nvPicPr>
        <xdr:cNvPr id="4247098" name="Picture 16"/>
        <xdr:cNvPicPr>
          <a:picLocks noChangeAspect="1"/>
        </xdr:cNvPicPr>
      </xdr:nvPicPr>
      <xdr:blipFill>
        <a:blip xmlns:r="http://schemas.openxmlformats.org/officeDocument/2006/relationships" r:embed="rId2"/>
        <a:srcRect/>
        <a:stretch>
          <a:fillRect/>
        </a:stretch>
      </xdr:blipFill>
      <xdr:spPr bwMode="auto">
        <a:xfrm>
          <a:off x="4533900" y="1971675"/>
          <a:ext cx="3533775" cy="228600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22</xdr:col>
      <xdr:colOff>812667</xdr:colOff>
      <xdr:row>1</xdr:row>
      <xdr:rowOff>180083</xdr:rowOff>
    </xdr:to>
    <xdr:sp macro="" textlink="">
      <xdr:nvSpPr>
        <xdr:cNvPr id="19"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Raw, Par and Zero Coupon curves and Discount Factors</a:t>
          </a:r>
          <a:endParaRPr lang="en-US" sz="1800" b="1" i="0" u="none" strike="noStrike" baseline="0">
            <a:solidFill>
              <a:srgbClr val="000000"/>
            </a:solidFill>
            <a:latin typeface="+mn-lt"/>
            <a:cs typeface="Angsana New" pitchFamily="18" charset="-34"/>
          </a:endParaRPr>
        </a:p>
      </xdr:txBody>
    </xdr:sp>
    <xdr:clientData/>
  </xdr:twoCellAnchor>
  <xdr:twoCellAnchor>
    <xdr:from>
      <xdr:col>4</xdr:col>
      <xdr:colOff>796636</xdr:colOff>
      <xdr:row>14</xdr:row>
      <xdr:rowOff>0</xdr:rowOff>
    </xdr:from>
    <xdr:to>
      <xdr:col>6</xdr:col>
      <xdr:colOff>835602</xdr:colOff>
      <xdr:row>14</xdr:row>
      <xdr:rowOff>0</xdr:rowOff>
    </xdr:to>
    <xdr:cxnSp macro="">
      <xdr:nvCxnSpPr>
        <xdr:cNvPr id="24" name="Straight Arrow Connector 23"/>
        <xdr:cNvCxnSpPr/>
      </xdr:nvCxnSpPr>
      <xdr:spPr>
        <a:xfrm>
          <a:off x="3294784" y="2809875"/>
          <a:ext cx="1190625" cy="0"/>
        </a:xfrm>
        <a:prstGeom prst="straightConnector1">
          <a:avLst/>
        </a:prstGeom>
        <a:ln w="6350">
          <a:solidFill>
            <a:srgbClr val="00B0F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156884</xdr:colOff>
      <xdr:row>30</xdr:row>
      <xdr:rowOff>11205</xdr:rowOff>
    </xdr:from>
    <xdr:to>
      <xdr:col>8</xdr:col>
      <xdr:colOff>156884</xdr:colOff>
      <xdr:row>31</xdr:row>
      <xdr:rowOff>22410</xdr:rowOff>
    </xdr:to>
    <xdr:cxnSp macro="">
      <xdr:nvCxnSpPr>
        <xdr:cNvPr id="6" name="Straight Arrow Connector 5"/>
        <xdr:cNvCxnSpPr/>
      </xdr:nvCxnSpPr>
      <xdr:spPr>
        <a:xfrm flipV="1">
          <a:off x="6264090" y="6062381"/>
          <a:ext cx="0" cy="190500"/>
        </a:xfrm>
        <a:prstGeom prst="straightConnector1">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1152525</xdr:colOff>
      <xdr:row>4</xdr:row>
      <xdr:rowOff>114300</xdr:rowOff>
    </xdr:from>
    <xdr:to>
      <xdr:col>6</xdr:col>
      <xdr:colOff>1543050</xdr:colOff>
      <xdr:row>6</xdr:row>
      <xdr:rowOff>219075</xdr:rowOff>
    </xdr:to>
    <xdr:grpSp>
      <xdr:nvGrpSpPr>
        <xdr:cNvPr id="4717122" name="Group 2"/>
        <xdr:cNvGrpSpPr>
          <a:grpSpLocks/>
        </xdr:cNvGrpSpPr>
      </xdr:nvGrpSpPr>
      <xdr:grpSpPr bwMode="auto">
        <a:xfrm>
          <a:off x="4803775" y="992717"/>
          <a:ext cx="390525" cy="612775"/>
          <a:chOff x="4774219" y="982385"/>
          <a:chExt cx="496769" cy="624444"/>
        </a:xfrm>
      </xdr:grpSpPr>
      <xdr:sp macro="" textlink="">
        <xdr:nvSpPr>
          <xdr:cNvPr id="2" name="Right Arrow 1"/>
          <xdr:cNvSpPr/>
        </xdr:nvSpPr>
        <xdr:spPr>
          <a:xfrm>
            <a:off x="4774219" y="982385"/>
            <a:ext cx="496769" cy="115282"/>
          </a:xfrm>
          <a:prstGeom prst="rightArrow">
            <a:avLst/>
          </a:prstGeom>
          <a:solidFill>
            <a:schemeClr val="bg1"/>
          </a:solid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23" name="Right Arrow 22"/>
          <xdr:cNvSpPr/>
        </xdr:nvSpPr>
        <xdr:spPr>
          <a:xfrm>
            <a:off x="4774219" y="1241769"/>
            <a:ext cx="496769" cy="105675"/>
          </a:xfrm>
          <a:prstGeom prst="rightArrow">
            <a:avLst/>
          </a:prstGeom>
          <a:solidFill>
            <a:schemeClr val="bg1"/>
          </a:solid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25" name="Right Arrow 24"/>
          <xdr:cNvSpPr/>
        </xdr:nvSpPr>
        <xdr:spPr>
          <a:xfrm>
            <a:off x="4774219" y="1491547"/>
            <a:ext cx="496769" cy="115282"/>
          </a:xfrm>
          <a:prstGeom prst="rightArrow">
            <a:avLst/>
          </a:prstGeom>
          <a:solidFill>
            <a:schemeClr val="bg1"/>
          </a:solidFill>
          <a:ln w="3175">
            <a:solidFill>
              <a:schemeClr val="tx2">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14</xdr:col>
      <xdr:colOff>279902</xdr:colOff>
      <xdr:row>10</xdr:row>
      <xdr:rowOff>74192</xdr:rowOff>
    </xdr:from>
    <xdr:to>
      <xdr:col>18</xdr:col>
      <xdr:colOff>590804</xdr:colOff>
      <xdr:row>17</xdr:row>
      <xdr:rowOff>138486</xdr:rowOff>
    </xdr:to>
    <xdr:sp macro="" textlink="">
      <xdr:nvSpPr>
        <xdr:cNvPr id="7" name="TextBox 6"/>
        <xdr:cNvSpPr txBox="1"/>
      </xdr:nvSpPr>
      <xdr:spPr>
        <a:xfrm rot="377562">
          <a:off x="11339485" y="2391942"/>
          <a:ext cx="3073152" cy="1471877"/>
        </a:xfrm>
        <a:prstGeom prst="rect">
          <a:avLst/>
        </a:prstGeom>
        <a:solidFill>
          <a:schemeClr val="lt1"/>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600">
              <a:solidFill>
                <a:srgbClr val="FF0000"/>
              </a:solidFill>
            </a:rPr>
            <a:t>To Refresh/Re-strip</a:t>
          </a:r>
          <a:r>
            <a:rPr lang="en-GB" sz="1600" baseline="0">
              <a:solidFill>
                <a:srgbClr val="FF0000"/>
              </a:solidFill>
            </a:rPr>
            <a:t> curve</a:t>
          </a:r>
          <a:r>
            <a:rPr lang="en-GB" sz="1600">
              <a:solidFill>
                <a:srgbClr val="FF0000"/>
              </a:solidFill>
            </a:rPr>
            <a:t> all data:  </a:t>
          </a:r>
          <a:br>
            <a:rPr lang="en-GB" sz="1600">
              <a:solidFill>
                <a:srgbClr val="FF0000"/>
              </a:solidFill>
            </a:rPr>
          </a:br>
          <a:r>
            <a:rPr lang="en-GB" sz="1600">
              <a:solidFill>
                <a:srgbClr val="FF0000"/>
              </a:solidFill>
            </a:rPr>
            <a:t>Press and hold </a:t>
          </a:r>
          <a:r>
            <a:rPr lang="en-GB" sz="1600" b="1">
              <a:solidFill>
                <a:srgbClr val="FF0000"/>
              </a:solidFill>
            </a:rPr>
            <a:t>CTL  + SHIFT and press the letter C</a:t>
          </a:r>
          <a:r>
            <a:rPr lang="en-GB" sz="1600" b="1" baseline="0">
              <a:solidFill>
                <a:srgbClr val="FF0000"/>
              </a:solidFill>
            </a:rPr>
            <a:t> </a:t>
          </a:r>
          <a:r>
            <a:rPr lang="en-GB" sz="1600" baseline="0">
              <a:solidFill>
                <a:srgbClr val="FF0000"/>
              </a:solidFill>
            </a:rPr>
            <a:t>... or go to the bloomberg toolbar as illustrated</a:t>
          </a:r>
          <a:br>
            <a:rPr lang="en-GB" sz="1600" baseline="0">
              <a:solidFill>
                <a:srgbClr val="FF0000"/>
              </a:solidFill>
            </a:rPr>
          </a:br>
          <a:r>
            <a:rPr lang="en-GB" sz="1600" baseline="0">
              <a:solidFill>
                <a:srgbClr val="FF0000"/>
              </a:solidFill>
            </a:rPr>
            <a:t>on the left of this text box  :-)</a:t>
          </a:r>
          <a:r>
            <a:rPr lang="en-GB" sz="1100"/>
            <a:t/>
          </a:r>
          <a:br>
            <a:rPr lang="en-GB" sz="1100"/>
          </a:br>
          <a:endParaRPr lang="en-GB" sz="1100"/>
        </a:p>
      </xdr:txBody>
    </xdr:sp>
    <xdr:clientData/>
  </xdr:twoCellAnchor>
  <xdr:twoCellAnchor>
    <xdr:from>
      <xdr:col>10</xdr:col>
      <xdr:colOff>962025</xdr:colOff>
      <xdr:row>2</xdr:row>
      <xdr:rowOff>171450</xdr:rowOff>
    </xdr:from>
    <xdr:to>
      <xdr:col>14</xdr:col>
      <xdr:colOff>400050</xdr:colOff>
      <xdr:row>20</xdr:row>
      <xdr:rowOff>9525</xdr:rowOff>
    </xdr:to>
    <xdr:grpSp>
      <xdr:nvGrpSpPr>
        <xdr:cNvPr id="4717124" name="Group 13"/>
        <xdr:cNvGrpSpPr>
          <a:grpSpLocks/>
        </xdr:cNvGrpSpPr>
      </xdr:nvGrpSpPr>
      <xdr:grpSpPr bwMode="auto">
        <a:xfrm>
          <a:off x="8592608" y="584200"/>
          <a:ext cx="2867025" cy="3753908"/>
          <a:chOff x="13011150" y="1104900"/>
          <a:chExt cx="2841199" cy="3743325"/>
        </a:xfrm>
      </xdr:grpSpPr>
      <xdr:grpSp>
        <xdr:nvGrpSpPr>
          <xdr:cNvPr id="4717125" name="Group 31"/>
          <xdr:cNvGrpSpPr>
            <a:grpSpLocks/>
          </xdr:cNvGrpSpPr>
        </xdr:nvGrpSpPr>
        <xdr:grpSpPr bwMode="auto">
          <a:xfrm>
            <a:off x="13011150" y="1104900"/>
            <a:ext cx="2841199" cy="3743325"/>
            <a:chOff x="14201775" y="1600200"/>
            <a:chExt cx="2857143" cy="3704889"/>
          </a:xfrm>
        </xdr:grpSpPr>
        <xdr:pic>
          <xdr:nvPicPr>
            <xdr:cNvPr id="4448948" name="Picture 32"/>
            <xdr:cNvPicPr>
              <a:picLocks noChangeAspect="1"/>
            </xdr:cNvPicPr>
          </xdr:nvPicPr>
          <xdr:blipFill>
            <a:blip xmlns:r="http://schemas.openxmlformats.org/officeDocument/2006/relationships" r:embed="rId3"/>
            <a:srcRect/>
            <a:stretch>
              <a:fillRect/>
            </a:stretch>
          </xdr:blipFill>
          <xdr:spPr bwMode="auto">
            <a:xfrm>
              <a:off x="14201775" y="1600200"/>
              <a:ext cx="2857143" cy="1344668"/>
            </a:xfrm>
            <a:prstGeom prst="rect">
              <a:avLst/>
            </a:prstGeom>
            <a:noFill/>
            <a:ln w="9525">
              <a:solidFill>
                <a:srgbClr val="D9D9D9"/>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pic>
          <xdr:nvPicPr>
            <xdr:cNvPr id="4448949" name="Picture 33"/>
            <xdr:cNvPicPr>
              <a:picLocks noChangeAspect="1"/>
            </xdr:cNvPicPr>
          </xdr:nvPicPr>
          <xdr:blipFill>
            <a:blip xmlns:r="http://schemas.openxmlformats.org/officeDocument/2006/relationships" r:embed="rId4"/>
            <a:srcRect/>
            <a:stretch>
              <a:fillRect/>
            </a:stretch>
          </xdr:blipFill>
          <xdr:spPr bwMode="auto">
            <a:xfrm>
              <a:off x="14677966" y="2615753"/>
              <a:ext cx="1685714" cy="2689336"/>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31" name="Rectangle 30"/>
          <xdr:cNvSpPr/>
        </xdr:nvSpPr>
        <xdr:spPr>
          <a:xfrm>
            <a:off x="13541507" y="3489607"/>
            <a:ext cx="1420600" cy="655557"/>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nvGrpSpPr>
          <xdr:cNvPr id="4717127" name="Group 12"/>
          <xdr:cNvGrpSpPr>
            <a:grpSpLocks/>
          </xdr:cNvGrpSpPr>
        </xdr:nvGrpSpPr>
        <xdr:grpSpPr bwMode="auto">
          <a:xfrm>
            <a:off x="13541507" y="2330506"/>
            <a:ext cx="1411129" cy="1111597"/>
            <a:chOff x="13541507" y="2330506"/>
            <a:chExt cx="1411129" cy="1111597"/>
          </a:xfrm>
        </xdr:grpSpPr>
        <xdr:sp macro="" textlink="">
          <xdr:nvSpPr>
            <xdr:cNvPr id="8" name="Rectangle 7"/>
            <xdr:cNvSpPr/>
          </xdr:nvSpPr>
          <xdr:spPr>
            <a:xfrm>
              <a:off x="13541507" y="2330506"/>
              <a:ext cx="1411129" cy="1111597"/>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10" name="Straight Connector 9"/>
            <xdr:cNvCxnSpPr/>
          </xdr:nvCxnSpPr>
          <xdr:spPr>
            <a:xfrm>
              <a:off x="14100276" y="2330506"/>
              <a:ext cx="94707" cy="0"/>
            </a:xfrm>
            <a:prstGeom prst="line">
              <a:avLst/>
            </a:prstGeom>
            <a:ln w="6350">
              <a:solidFill>
                <a:schemeClr val="bg1"/>
              </a:solidFill>
              <a:tailEnd type="non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12</xdr:col>
      <xdr:colOff>524745</xdr:colOff>
      <xdr:row>11</xdr:row>
      <xdr:rowOff>1830</xdr:rowOff>
    </xdr:from>
    <xdr:to>
      <xdr:col>12</xdr:col>
      <xdr:colOff>965198</xdr:colOff>
      <xdr:row>12</xdr:row>
      <xdr:rowOff>128829</xdr:rowOff>
    </xdr:to>
    <xdr:sp macro="" textlink="">
      <xdr:nvSpPr>
        <xdr:cNvPr id="3" name="Down Arrow 2"/>
        <xdr:cNvSpPr/>
      </xdr:nvSpPr>
      <xdr:spPr>
        <a:xfrm rot="7085069">
          <a:off x="10402263" y="2464478"/>
          <a:ext cx="328083" cy="440453"/>
        </a:xfrm>
        <a:prstGeom prst="downArrow">
          <a:avLst/>
        </a:prstGeom>
        <a:solidFill>
          <a:srgbClr val="FF000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12</xdr:col>
      <xdr:colOff>592481</xdr:colOff>
      <xdr:row>15</xdr:row>
      <xdr:rowOff>164812</xdr:rowOff>
    </xdr:from>
    <xdr:to>
      <xdr:col>13</xdr:col>
      <xdr:colOff>38100</xdr:colOff>
      <xdr:row>17</xdr:row>
      <xdr:rowOff>90729</xdr:rowOff>
    </xdr:to>
    <xdr:sp macro="" textlink="">
      <xdr:nvSpPr>
        <xdr:cNvPr id="21" name="Down Arrow 20"/>
        <xdr:cNvSpPr/>
      </xdr:nvSpPr>
      <xdr:spPr>
        <a:xfrm rot="7085069">
          <a:off x="10469999" y="3431794"/>
          <a:ext cx="328083" cy="440453"/>
        </a:xfrm>
        <a:prstGeom prst="downArrow">
          <a:avLst/>
        </a:prstGeom>
        <a:solidFill>
          <a:srgbClr val="FF0000"/>
        </a:solidFill>
        <a:ln w="63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18</xdr:col>
      <xdr:colOff>444501</xdr:colOff>
      <xdr:row>12</xdr:row>
      <xdr:rowOff>31746</xdr:rowOff>
    </xdr:from>
    <xdr:to>
      <xdr:col>18</xdr:col>
      <xdr:colOff>1037167</xdr:colOff>
      <xdr:row>15</xdr:row>
      <xdr:rowOff>137579</xdr:rowOff>
    </xdr:to>
    <xdr:sp macro="" textlink="">
      <xdr:nvSpPr>
        <xdr:cNvPr id="2" name="TextBox 1"/>
        <xdr:cNvSpPr txBox="1"/>
      </xdr:nvSpPr>
      <xdr:spPr>
        <a:xfrm>
          <a:off x="15980834" y="2444746"/>
          <a:ext cx="592666" cy="64558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3600"/>
            <a:t>or</a:t>
          </a:r>
        </a:p>
      </xdr:txBody>
    </xdr:sp>
    <xdr:clientData/>
  </xdr:twoCellAnchor>
  <xdr:twoCellAnchor>
    <xdr:from>
      <xdr:col>4</xdr:col>
      <xdr:colOff>116684</xdr:colOff>
      <xdr:row>11</xdr:row>
      <xdr:rowOff>118535</xdr:rowOff>
    </xdr:from>
    <xdr:to>
      <xdr:col>4</xdr:col>
      <xdr:colOff>119063</xdr:colOff>
      <xdr:row>13</xdr:row>
      <xdr:rowOff>29766</xdr:rowOff>
    </xdr:to>
    <xdr:cxnSp macro="">
      <xdr:nvCxnSpPr>
        <xdr:cNvPr id="17" name="Straight Arrow Connector 16"/>
        <xdr:cNvCxnSpPr/>
      </xdr:nvCxnSpPr>
      <xdr:spPr>
        <a:xfrm>
          <a:off x="3134918" y="2339051"/>
          <a:ext cx="2379" cy="268418"/>
        </a:xfrm>
        <a:prstGeom prst="straightConnector1">
          <a:avLst/>
        </a:prstGeom>
        <a:ln>
          <a:solidFill>
            <a:schemeClr val="accent6">
              <a:lumMod val="5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20</xdr:col>
      <xdr:colOff>590417</xdr:colOff>
      <xdr:row>2</xdr:row>
      <xdr:rowOff>167</xdr:rowOff>
    </xdr:to>
    <xdr:sp macro="" textlink="">
      <xdr:nvSpPr>
        <xdr:cNvPr id="18"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Spreading bonds to the Par or Zero Coupon Curve</a:t>
          </a:r>
          <a:endParaRPr lang="en-US" sz="1800" b="1" i="0" u="none" strike="noStrike" baseline="0">
            <a:solidFill>
              <a:srgbClr val="000000"/>
            </a:solidFill>
            <a:latin typeface="+mn-lt"/>
            <a:cs typeface="Angsana New" pitchFamily="18" charset="-34"/>
          </a:endParaRPr>
        </a:p>
      </xdr:txBody>
    </xdr:sp>
    <xdr:clientData/>
  </xdr:twoCellAnchor>
  <xdr:twoCellAnchor>
    <xdr:from>
      <xdr:col>8</xdr:col>
      <xdr:colOff>0</xdr:colOff>
      <xdr:row>43</xdr:row>
      <xdr:rowOff>28575</xdr:rowOff>
    </xdr:from>
    <xdr:to>
      <xdr:col>18</xdr:col>
      <xdr:colOff>1247775</xdr:colOff>
      <xdr:row>45</xdr:row>
      <xdr:rowOff>85725</xdr:rowOff>
    </xdr:to>
    <xdr:sp macro="" textlink="">
      <xdr:nvSpPr>
        <xdr:cNvPr id="28" name="TextBox 27"/>
        <xdr:cNvSpPr txBox="1"/>
      </xdr:nvSpPr>
      <xdr:spPr>
        <a:xfrm>
          <a:off x="5915025" y="8058150"/>
          <a:ext cx="10858500" cy="4191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algn="ctr"/>
          <a:r>
            <a:rPr lang="en-US" sz="2000">
              <a:solidFill>
                <a:sysClr val="windowText" lastClr="000000"/>
              </a:solidFill>
            </a:rPr>
            <a:t>Alternative method  =BCurveInt</a:t>
          </a:r>
        </a:p>
      </xdr:txBody>
    </xdr:sp>
    <xdr:clientData/>
  </xdr:twoCellAnchor>
  <xdr:twoCellAnchor>
    <xdr:from>
      <xdr:col>14</xdr:col>
      <xdr:colOff>51854</xdr:colOff>
      <xdr:row>62</xdr:row>
      <xdr:rowOff>97372</xdr:rowOff>
    </xdr:from>
    <xdr:to>
      <xdr:col>14</xdr:col>
      <xdr:colOff>433913</xdr:colOff>
      <xdr:row>67</xdr:row>
      <xdr:rowOff>127005</xdr:rowOff>
    </xdr:to>
    <xdr:cxnSp macro="">
      <xdr:nvCxnSpPr>
        <xdr:cNvPr id="36" name="Straight Arrow Connector 35"/>
        <xdr:cNvCxnSpPr/>
      </xdr:nvCxnSpPr>
      <xdr:spPr>
        <a:xfrm flipH="1" flipV="1">
          <a:off x="11481854" y="11506205"/>
          <a:ext cx="382059" cy="929217"/>
        </a:xfrm>
        <a:prstGeom prst="straightConnector1">
          <a:avLst/>
        </a:prstGeom>
        <a:ln w="6350">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896406</xdr:colOff>
      <xdr:row>50</xdr:row>
      <xdr:rowOff>116419</xdr:rowOff>
    </xdr:from>
    <xdr:to>
      <xdr:col>13</xdr:col>
      <xdr:colOff>211667</xdr:colOff>
      <xdr:row>55</xdr:row>
      <xdr:rowOff>0</xdr:rowOff>
    </xdr:to>
    <xdr:cxnSp macro="">
      <xdr:nvCxnSpPr>
        <xdr:cNvPr id="37" name="Straight Arrow Connector 36"/>
        <xdr:cNvCxnSpPr/>
      </xdr:nvCxnSpPr>
      <xdr:spPr>
        <a:xfrm flipH="1" flipV="1">
          <a:off x="10442573" y="9366252"/>
          <a:ext cx="257177" cy="783165"/>
        </a:xfrm>
        <a:prstGeom prst="straightConnector1">
          <a:avLst/>
        </a:prstGeom>
        <a:ln w="6350">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171450</xdr:colOff>
      <xdr:row>60</xdr:row>
      <xdr:rowOff>9525</xdr:rowOff>
    </xdr:from>
    <xdr:to>
      <xdr:col>14</xdr:col>
      <xdr:colOff>276225</xdr:colOff>
      <xdr:row>60</xdr:row>
      <xdr:rowOff>171450</xdr:rowOff>
    </xdr:to>
    <xdr:cxnSp macro="">
      <xdr:nvCxnSpPr>
        <xdr:cNvPr id="41" name="Straight Arrow Connector 40"/>
        <xdr:cNvCxnSpPr/>
      </xdr:nvCxnSpPr>
      <xdr:spPr>
        <a:xfrm flipH="1">
          <a:off x="10401300" y="11115675"/>
          <a:ext cx="104775" cy="161925"/>
        </a:xfrm>
        <a:prstGeom prst="straightConnector1">
          <a:avLst/>
        </a:prstGeom>
        <a:ln w="6350">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238125</xdr:colOff>
      <xdr:row>60</xdr:row>
      <xdr:rowOff>19050</xdr:rowOff>
    </xdr:from>
    <xdr:to>
      <xdr:col>17</xdr:col>
      <xdr:colOff>342900</xdr:colOff>
      <xdr:row>61</xdr:row>
      <xdr:rowOff>0</xdr:rowOff>
    </xdr:to>
    <xdr:cxnSp macro="">
      <xdr:nvCxnSpPr>
        <xdr:cNvPr id="42" name="Straight Arrow Connector 41"/>
        <xdr:cNvCxnSpPr/>
      </xdr:nvCxnSpPr>
      <xdr:spPr>
        <a:xfrm flipH="1">
          <a:off x="12611100" y="11125200"/>
          <a:ext cx="104775" cy="161925"/>
        </a:xfrm>
        <a:prstGeom prst="straightConnector1">
          <a:avLst/>
        </a:prstGeom>
        <a:ln w="6350">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596557</xdr:colOff>
      <xdr:row>11</xdr:row>
      <xdr:rowOff>116157</xdr:rowOff>
    </xdr:from>
    <xdr:to>
      <xdr:col>1</xdr:col>
      <xdr:colOff>598936</xdr:colOff>
      <xdr:row>13</xdr:row>
      <xdr:rowOff>27388</xdr:rowOff>
    </xdr:to>
    <xdr:cxnSp macro="">
      <xdr:nvCxnSpPr>
        <xdr:cNvPr id="40" name="Straight Arrow Connector 39"/>
        <xdr:cNvCxnSpPr/>
      </xdr:nvCxnSpPr>
      <xdr:spPr>
        <a:xfrm>
          <a:off x="846588" y="2336673"/>
          <a:ext cx="2379" cy="268418"/>
        </a:xfrm>
        <a:prstGeom prst="straightConnector1">
          <a:avLst/>
        </a:prstGeom>
        <a:ln>
          <a:solidFill>
            <a:schemeClr val="accent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606426</xdr:colOff>
      <xdr:row>16</xdr:row>
      <xdr:rowOff>177799</xdr:rowOff>
    </xdr:from>
    <xdr:to>
      <xdr:col>20</xdr:col>
      <xdr:colOff>361951</xdr:colOff>
      <xdr:row>37</xdr:row>
      <xdr:rowOff>73024</xdr:rowOff>
    </xdr:to>
    <xdr:grpSp>
      <xdr:nvGrpSpPr>
        <xdr:cNvPr id="4748736" name="Group 13"/>
        <xdr:cNvGrpSpPr>
          <a:grpSpLocks/>
        </xdr:cNvGrpSpPr>
      </xdr:nvGrpSpPr>
      <xdr:grpSpPr bwMode="auto">
        <a:xfrm>
          <a:off x="14936259" y="3310466"/>
          <a:ext cx="2835275" cy="3673475"/>
          <a:chOff x="13011150" y="1104900"/>
          <a:chExt cx="2841199" cy="3743325"/>
        </a:xfrm>
      </xdr:grpSpPr>
      <xdr:grpSp>
        <xdr:nvGrpSpPr>
          <xdr:cNvPr id="4748738" name="Group 31"/>
          <xdr:cNvGrpSpPr>
            <a:grpSpLocks/>
          </xdr:cNvGrpSpPr>
        </xdr:nvGrpSpPr>
        <xdr:grpSpPr bwMode="auto">
          <a:xfrm>
            <a:off x="13011150" y="1104900"/>
            <a:ext cx="2841199" cy="3743325"/>
            <a:chOff x="14201775" y="1600200"/>
            <a:chExt cx="2857143" cy="3704889"/>
          </a:xfrm>
        </xdr:grpSpPr>
        <xdr:pic>
          <xdr:nvPicPr>
            <xdr:cNvPr id="4449881" name="Picture 32"/>
            <xdr:cNvPicPr>
              <a:picLocks noChangeAspect="1"/>
            </xdr:cNvPicPr>
          </xdr:nvPicPr>
          <xdr:blipFill>
            <a:blip xmlns:r="http://schemas.openxmlformats.org/officeDocument/2006/relationships" r:embed="rId1"/>
            <a:srcRect/>
            <a:stretch>
              <a:fillRect/>
            </a:stretch>
          </xdr:blipFill>
          <xdr:spPr bwMode="auto">
            <a:xfrm>
              <a:off x="14201775" y="1600200"/>
              <a:ext cx="2857143" cy="1346364"/>
            </a:xfrm>
            <a:prstGeom prst="rect">
              <a:avLst/>
            </a:prstGeom>
            <a:noFill/>
            <a:ln w="9525">
              <a:solidFill>
                <a:srgbClr val="D9D9D9"/>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pic>
          <xdr:nvPicPr>
            <xdr:cNvPr id="4449882" name="Picture 33"/>
            <xdr:cNvPicPr>
              <a:picLocks noChangeAspect="1"/>
            </xdr:cNvPicPr>
          </xdr:nvPicPr>
          <xdr:blipFill>
            <a:blip xmlns:r="http://schemas.openxmlformats.org/officeDocument/2006/relationships" r:embed="rId2"/>
            <a:srcRect/>
            <a:stretch>
              <a:fillRect/>
            </a:stretch>
          </xdr:blipFill>
          <xdr:spPr bwMode="auto">
            <a:xfrm>
              <a:off x="14681161" y="2621909"/>
              <a:ext cx="1677852" cy="2683180"/>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16" name="Rectangle 15"/>
          <xdr:cNvSpPr/>
        </xdr:nvSpPr>
        <xdr:spPr>
          <a:xfrm>
            <a:off x="13506930" y="3487893"/>
            <a:ext cx="1458736" cy="656047"/>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nvGrpSpPr>
          <xdr:cNvPr id="4748740" name="Group 18"/>
          <xdr:cNvGrpSpPr>
            <a:grpSpLocks/>
          </xdr:cNvGrpSpPr>
        </xdr:nvGrpSpPr>
        <xdr:grpSpPr bwMode="auto">
          <a:xfrm>
            <a:off x="13506425" y="2330164"/>
            <a:ext cx="1344831" cy="1109490"/>
            <a:chOff x="13506425" y="2330164"/>
            <a:chExt cx="1344831" cy="1109490"/>
          </a:xfrm>
        </xdr:grpSpPr>
        <xdr:sp macro="" textlink="">
          <xdr:nvSpPr>
            <xdr:cNvPr id="20" name="Rectangle 19"/>
            <xdr:cNvSpPr/>
          </xdr:nvSpPr>
          <xdr:spPr>
            <a:xfrm>
              <a:off x="13506929" y="2330164"/>
              <a:ext cx="1344326" cy="1109491"/>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21" name="Straight Connector 20"/>
            <xdr:cNvCxnSpPr/>
          </xdr:nvCxnSpPr>
          <xdr:spPr>
            <a:xfrm>
              <a:off x="14107586" y="2330164"/>
              <a:ext cx="85808" cy="0"/>
            </a:xfrm>
            <a:prstGeom prst="line">
              <a:avLst/>
            </a:prstGeom>
            <a:ln w="6350">
              <a:solidFill>
                <a:schemeClr val="bg1"/>
              </a:solidFill>
              <a:tailEnd type="non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17</xdr:col>
      <xdr:colOff>159439</xdr:colOff>
      <xdr:row>5</xdr:row>
      <xdr:rowOff>205958</xdr:rowOff>
    </xdr:from>
    <xdr:to>
      <xdr:col>21</xdr:col>
      <xdr:colOff>200433</xdr:colOff>
      <xdr:row>11</xdr:row>
      <xdr:rowOff>142405</xdr:rowOff>
    </xdr:to>
    <xdr:sp macro="" textlink="">
      <xdr:nvSpPr>
        <xdr:cNvPr id="19" name="TextBox 18"/>
        <xdr:cNvSpPr txBox="1"/>
      </xdr:nvSpPr>
      <xdr:spPr>
        <a:xfrm rot="712167">
          <a:off x="14489272" y="1274875"/>
          <a:ext cx="3734578" cy="110061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600" b="1">
              <a:solidFill>
                <a:sysClr val="windowText" lastClr="000000"/>
              </a:solidFill>
              <a:effectLst/>
              <a:latin typeface="+mn-lt"/>
              <a:ea typeface="+mn-ea"/>
              <a:cs typeface="+mn-cs"/>
            </a:rPr>
            <a:t>Refresh data and/or changing curves</a:t>
          </a:r>
          <a:r>
            <a:rPr lang="en-GB" sz="1400" b="1">
              <a:solidFill>
                <a:sysClr val="windowText" lastClr="000000"/>
              </a:solidFill>
              <a:effectLst/>
              <a:latin typeface="+mn-lt"/>
              <a:ea typeface="+mn-ea"/>
              <a:cs typeface="+mn-cs"/>
            </a:rPr>
            <a:t/>
          </a:r>
          <a:br>
            <a:rPr lang="en-GB" sz="1400" b="1">
              <a:solidFill>
                <a:sysClr val="windowText" lastClr="000000"/>
              </a:solidFill>
              <a:effectLst/>
              <a:latin typeface="+mn-lt"/>
              <a:ea typeface="+mn-ea"/>
              <a:cs typeface="+mn-cs"/>
            </a:rPr>
          </a:br>
          <a:r>
            <a:rPr lang="en-GB" sz="1400" b="1">
              <a:solidFill>
                <a:srgbClr val="FF0000"/>
              </a:solidFill>
              <a:effectLst/>
              <a:latin typeface="+mn-lt"/>
              <a:ea typeface="+mn-ea"/>
              <a:cs typeface="+mn-cs"/>
            </a:rPr>
            <a:t>Important </a:t>
          </a:r>
          <a:r>
            <a:rPr lang="en-GB" sz="1400">
              <a:solidFill>
                <a:schemeClr val="dk1"/>
              </a:solidFill>
              <a:effectLst/>
              <a:latin typeface="+mn-lt"/>
              <a:ea typeface="+mn-ea"/>
              <a:cs typeface="+mn-cs"/>
            </a:rPr>
            <a:t>If you change curve number and/or</a:t>
          </a:r>
          <a:r>
            <a:rPr lang="en-GB" sz="1400" baseline="0">
              <a:solidFill>
                <a:schemeClr val="dk1"/>
              </a:solidFill>
              <a:effectLst/>
              <a:latin typeface="+mn-lt"/>
              <a:ea typeface="+mn-ea"/>
              <a:cs typeface="+mn-cs"/>
            </a:rPr>
            <a:t> </a:t>
          </a:r>
          <a:r>
            <a:rPr lang="en-GB" sz="1400">
              <a:solidFill>
                <a:schemeClr val="dk1"/>
              </a:solidFill>
              <a:effectLst/>
              <a:latin typeface="+mn-lt"/>
              <a:ea typeface="+mn-ea"/>
              <a:cs typeface="+mn-cs"/>
            </a:rPr>
            <a:t>wish to refresh</a:t>
          </a:r>
          <a:r>
            <a:rPr lang="en-GB" sz="1400" baseline="0">
              <a:solidFill>
                <a:schemeClr val="dk1"/>
              </a:solidFill>
              <a:effectLst/>
              <a:latin typeface="+mn-lt"/>
              <a:ea typeface="+mn-ea"/>
              <a:cs typeface="+mn-cs"/>
            </a:rPr>
            <a:t> </a:t>
          </a:r>
          <a:r>
            <a:rPr lang="en-GB" sz="1400">
              <a:solidFill>
                <a:schemeClr val="dk1"/>
              </a:solidFill>
              <a:effectLst/>
              <a:latin typeface="+mn-lt"/>
              <a:ea typeface="+mn-ea"/>
              <a:cs typeface="+mn-cs"/>
            </a:rPr>
            <a:t>the</a:t>
          </a:r>
          <a:r>
            <a:rPr lang="en-GB" sz="1400" baseline="0">
              <a:solidFill>
                <a:schemeClr val="dk1"/>
              </a:solidFill>
              <a:effectLst/>
              <a:latin typeface="+mn-lt"/>
              <a:ea typeface="+mn-ea"/>
              <a:cs typeface="+mn-cs"/>
            </a:rPr>
            <a:t> data hold down the buttons </a:t>
          </a:r>
          <a:r>
            <a:rPr lang="en-GB" sz="1400" b="1" baseline="0">
              <a:solidFill>
                <a:srgbClr val="FF0000"/>
              </a:solidFill>
              <a:effectLst/>
              <a:latin typeface="+mn-lt"/>
              <a:ea typeface="+mn-ea"/>
              <a:cs typeface="+mn-cs"/>
            </a:rPr>
            <a:t>CTRL </a:t>
          </a:r>
          <a:r>
            <a:rPr lang="en-GB" sz="1400" baseline="0">
              <a:solidFill>
                <a:schemeClr val="dk1"/>
              </a:solidFill>
              <a:effectLst/>
              <a:latin typeface="+mn-lt"/>
              <a:ea typeface="+mn-ea"/>
              <a:cs typeface="+mn-cs"/>
            </a:rPr>
            <a:t>and </a:t>
          </a:r>
          <a:r>
            <a:rPr lang="en-GB" sz="1400" b="1" baseline="0">
              <a:solidFill>
                <a:srgbClr val="FF0000"/>
              </a:solidFill>
              <a:effectLst/>
              <a:latin typeface="+mn-lt"/>
              <a:ea typeface="+mn-ea"/>
              <a:cs typeface="+mn-cs"/>
            </a:rPr>
            <a:t>SHIFT</a:t>
          </a:r>
          <a:r>
            <a:rPr lang="en-GB" sz="1400" baseline="0">
              <a:solidFill>
                <a:schemeClr val="dk1"/>
              </a:solidFill>
              <a:effectLst/>
              <a:latin typeface="+mn-lt"/>
              <a:ea typeface="+mn-ea"/>
              <a:cs typeface="+mn-cs"/>
            </a:rPr>
            <a:t>  then press the letter </a:t>
          </a:r>
          <a:r>
            <a:rPr lang="en-GB" sz="1400" b="1" baseline="0">
              <a:solidFill>
                <a:srgbClr val="FF0000"/>
              </a:solidFill>
              <a:effectLst/>
              <a:latin typeface="+mn-lt"/>
              <a:ea typeface="+mn-ea"/>
              <a:cs typeface="+mn-cs"/>
            </a:rPr>
            <a:t>C</a:t>
          </a:r>
          <a:endParaRPr lang="en-GB" sz="1400" b="1">
            <a:solidFill>
              <a:srgbClr val="FF0000"/>
            </a:solidFill>
            <a:effectLst/>
          </a:endParaRPr>
        </a:p>
        <a:p>
          <a:endParaRPr lang="en-GB" sz="1100"/>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1</xdr:col>
      <xdr:colOff>33336</xdr:colOff>
      <xdr:row>12</xdr:row>
      <xdr:rowOff>52390</xdr:rowOff>
    </xdr:from>
    <xdr:to>
      <xdr:col>3</xdr:col>
      <xdr:colOff>723901</xdr:colOff>
      <xdr:row>13</xdr:row>
      <xdr:rowOff>9528</xdr:rowOff>
    </xdr:to>
    <xdr:sp macro="" textlink="">
      <xdr:nvSpPr>
        <xdr:cNvPr id="16" name="Right Brace 15"/>
        <xdr:cNvSpPr/>
      </xdr:nvSpPr>
      <xdr:spPr>
        <a:xfrm rot="5400000">
          <a:off x="1690687" y="319089"/>
          <a:ext cx="138113" cy="2957515"/>
        </a:xfrm>
        <a:prstGeom prst="rightBrace">
          <a:avLst>
            <a:gd name="adj1" fmla="val 8333"/>
            <a:gd name="adj2" fmla="val 83816"/>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endParaRPr lang="en-GB"/>
        </a:p>
      </xdr:txBody>
    </xdr:sp>
    <xdr:clientData/>
  </xdr:twoCellAnchor>
  <xdr:twoCellAnchor>
    <xdr:from>
      <xdr:col>1</xdr:col>
      <xdr:colOff>1171575</xdr:colOff>
      <xdr:row>13</xdr:row>
      <xdr:rowOff>123825</xdr:rowOff>
    </xdr:from>
    <xdr:to>
      <xdr:col>1</xdr:col>
      <xdr:colOff>1638300</xdr:colOff>
      <xdr:row>14</xdr:row>
      <xdr:rowOff>104775</xdr:rowOff>
    </xdr:to>
    <xdr:cxnSp macro="">
      <xdr:nvCxnSpPr>
        <xdr:cNvPr id="18" name="Straight Arrow Connector 17"/>
        <xdr:cNvCxnSpPr/>
      </xdr:nvCxnSpPr>
      <xdr:spPr>
        <a:xfrm flipH="1" flipV="1">
          <a:off x="1419225" y="2714625"/>
          <a:ext cx="466725" cy="161925"/>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1143000</xdr:colOff>
      <xdr:row>34</xdr:row>
      <xdr:rowOff>95250</xdr:rowOff>
    </xdr:from>
    <xdr:to>
      <xdr:col>1</xdr:col>
      <xdr:colOff>1562100</xdr:colOff>
      <xdr:row>34</xdr:row>
      <xdr:rowOff>95250</xdr:rowOff>
    </xdr:to>
    <xdr:cxnSp macro="">
      <xdr:nvCxnSpPr>
        <xdr:cNvPr id="19" name="Straight Arrow Connector 18"/>
        <xdr:cNvCxnSpPr/>
      </xdr:nvCxnSpPr>
      <xdr:spPr>
        <a:xfrm>
          <a:off x="1390650" y="6305550"/>
          <a:ext cx="419100" cy="0"/>
        </a:xfrm>
        <a:prstGeom prst="straightConnector1">
          <a:avLst/>
        </a:prstGeom>
        <a:ln>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1371602</xdr:colOff>
      <xdr:row>31</xdr:row>
      <xdr:rowOff>47627</xdr:rowOff>
    </xdr:from>
    <xdr:to>
      <xdr:col>2</xdr:col>
      <xdr:colOff>9525</xdr:colOff>
      <xdr:row>31</xdr:row>
      <xdr:rowOff>95250</xdr:rowOff>
    </xdr:to>
    <xdr:cxnSp macro="">
      <xdr:nvCxnSpPr>
        <xdr:cNvPr id="20" name="Straight Arrow Connector 19"/>
        <xdr:cNvCxnSpPr/>
      </xdr:nvCxnSpPr>
      <xdr:spPr>
        <a:xfrm flipH="1" flipV="1">
          <a:off x="1619252" y="5715002"/>
          <a:ext cx="238123" cy="47623"/>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47626</xdr:colOff>
      <xdr:row>8</xdr:row>
      <xdr:rowOff>57150</xdr:rowOff>
    </xdr:from>
    <xdr:to>
      <xdr:col>1</xdr:col>
      <xdr:colOff>49078</xdr:colOff>
      <xdr:row>11</xdr:row>
      <xdr:rowOff>65707</xdr:rowOff>
    </xdr:to>
    <xdr:cxnSp macro="">
      <xdr:nvCxnSpPr>
        <xdr:cNvPr id="21" name="Straight Arrow Connector 20"/>
        <xdr:cNvCxnSpPr/>
      </xdr:nvCxnSpPr>
      <xdr:spPr>
        <a:xfrm>
          <a:off x="295276" y="1743075"/>
          <a:ext cx="1452" cy="551482"/>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1143000</xdr:colOff>
      <xdr:row>35</xdr:row>
      <xdr:rowOff>114300</xdr:rowOff>
    </xdr:from>
    <xdr:to>
      <xdr:col>1</xdr:col>
      <xdr:colOff>1143000</xdr:colOff>
      <xdr:row>37</xdr:row>
      <xdr:rowOff>161925</xdr:rowOff>
    </xdr:to>
    <xdr:cxnSp macro="">
      <xdr:nvCxnSpPr>
        <xdr:cNvPr id="24" name="Straight Arrow Connector 23"/>
        <xdr:cNvCxnSpPr/>
      </xdr:nvCxnSpPr>
      <xdr:spPr>
        <a:xfrm>
          <a:off x="1390650" y="6505575"/>
          <a:ext cx="0" cy="409575"/>
        </a:xfrm>
        <a:prstGeom prst="straightConnector1">
          <a:avLst/>
        </a:prstGeom>
        <a:ln>
          <a:solidFill>
            <a:schemeClr val="tx1"/>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1209675</xdr:colOff>
      <xdr:row>23</xdr:row>
      <xdr:rowOff>85726</xdr:rowOff>
    </xdr:from>
    <xdr:to>
      <xdr:col>1</xdr:col>
      <xdr:colOff>1666875</xdr:colOff>
      <xdr:row>24</xdr:row>
      <xdr:rowOff>133350</xdr:rowOff>
    </xdr:to>
    <xdr:cxnSp macro="">
      <xdr:nvCxnSpPr>
        <xdr:cNvPr id="29" name="Straight Arrow Connector 28"/>
        <xdr:cNvCxnSpPr/>
      </xdr:nvCxnSpPr>
      <xdr:spPr>
        <a:xfrm flipH="1" flipV="1">
          <a:off x="1457325" y="4486276"/>
          <a:ext cx="457200" cy="228599"/>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1133475</xdr:colOff>
      <xdr:row>22</xdr:row>
      <xdr:rowOff>28575</xdr:rowOff>
    </xdr:from>
    <xdr:to>
      <xdr:col>1</xdr:col>
      <xdr:colOff>1666876</xdr:colOff>
      <xdr:row>23</xdr:row>
      <xdr:rowOff>104776</xdr:rowOff>
    </xdr:to>
    <xdr:cxnSp macro="">
      <xdr:nvCxnSpPr>
        <xdr:cNvPr id="32" name="Straight Arrow Connector 31"/>
        <xdr:cNvCxnSpPr/>
      </xdr:nvCxnSpPr>
      <xdr:spPr>
        <a:xfrm flipH="1" flipV="1">
          <a:off x="1381125" y="4248150"/>
          <a:ext cx="533401" cy="257176"/>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0</xdr:row>
      <xdr:rowOff>0</xdr:rowOff>
    </xdr:from>
    <xdr:to>
      <xdr:col>20</xdr:col>
      <xdr:colOff>452833</xdr:colOff>
      <xdr:row>2</xdr:row>
      <xdr:rowOff>167</xdr:rowOff>
    </xdr:to>
    <xdr:sp macro="" textlink="">
      <xdr:nvSpPr>
        <xdr:cNvPr id="33"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cs typeface="+mn-cs"/>
            </a:rPr>
            <a:t>Forward Rates</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47625</xdr:colOff>
      <xdr:row>19</xdr:row>
      <xdr:rowOff>114303</xdr:rowOff>
    </xdr:from>
    <xdr:to>
      <xdr:col>1</xdr:col>
      <xdr:colOff>47625</xdr:colOff>
      <xdr:row>25</xdr:row>
      <xdr:rowOff>19050</xdr:rowOff>
    </xdr:to>
    <xdr:cxnSp macro="">
      <xdr:nvCxnSpPr>
        <xdr:cNvPr id="39" name="Straight Arrow Connector 38"/>
        <xdr:cNvCxnSpPr/>
      </xdr:nvCxnSpPr>
      <xdr:spPr>
        <a:xfrm flipV="1">
          <a:off x="295275" y="3790953"/>
          <a:ext cx="0" cy="990597"/>
        </a:xfrm>
        <a:prstGeom prst="straightConnector1">
          <a:avLst/>
        </a:prstGeom>
        <a:ln>
          <a:solidFill>
            <a:schemeClr val="tx2">
              <a:lumMod val="60000"/>
              <a:lumOff val="40000"/>
            </a:schemeClr>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390525</xdr:colOff>
      <xdr:row>122</xdr:row>
      <xdr:rowOff>66675</xdr:rowOff>
    </xdr:from>
    <xdr:to>
      <xdr:col>15</xdr:col>
      <xdr:colOff>219075</xdr:colOff>
      <xdr:row>144</xdr:row>
      <xdr:rowOff>142875</xdr:rowOff>
    </xdr:to>
    <xdr:grpSp>
      <xdr:nvGrpSpPr>
        <xdr:cNvPr id="4794822" name="Group 29"/>
        <xdr:cNvGrpSpPr>
          <a:grpSpLocks/>
        </xdr:cNvGrpSpPr>
      </xdr:nvGrpSpPr>
      <xdr:grpSpPr bwMode="auto">
        <a:xfrm>
          <a:off x="8740775" y="22259925"/>
          <a:ext cx="4548717" cy="4034367"/>
          <a:chOff x="7096125" y="19554825"/>
          <a:chExt cx="4467225" cy="4953000"/>
        </a:xfrm>
      </xdr:grpSpPr>
      <xdr:pic>
        <xdr:nvPicPr>
          <xdr:cNvPr id="4794838" name="Picture 30" descr="C:\Users\tszigeti\AppData\Local\Temp\SNAGHTML10ab44d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96125" y="19554825"/>
            <a:ext cx="4467225" cy="495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34" name="Rectangle 33"/>
          <xdr:cNvSpPr/>
        </xdr:nvSpPr>
        <xdr:spPr>
          <a:xfrm>
            <a:off x="7985824" y="20078029"/>
            <a:ext cx="711759" cy="174401"/>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sp macro="" textlink="">
        <xdr:nvSpPr>
          <xdr:cNvPr id="35" name="Rectangle 34"/>
          <xdr:cNvSpPr/>
        </xdr:nvSpPr>
        <xdr:spPr>
          <a:xfrm>
            <a:off x="7358352" y="20252431"/>
            <a:ext cx="3511969" cy="109291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1</xdr:col>
      <xdr:colOff>0</xdr:colOff>
      <xdr:row>114</xdr:row>
      <xdr:rowOff>0</xdr:rowOff>
    </xdr:from>
    <xdr:to>
      <xdr:col>15</xdr:col>
      <xdr:colOff>28575</xdr:colOff>
      <xdr:row>123</xdr:row>
      <xdr:rowOff>57150</xdr:rowOff>
    </xdr:to>
    <xdr:grpSp>
      <xdr:nvGrpSpPr>
        <xdr:cNvPr id="4794823" name="Group 35"/>
        <xdr:cNvGrpSpPr>
          <a:grpSpLocks/>
        </xdr:cNvGrpSpPr>
      </xdr:nvGrpSpPr>
      <xdr:grpSpPr bwMode="auto">
        <a:xfrm>
          <a:off x="243417" y="20753917"/>
          <a:ext cx="12855575" cy="1676400"/>
          <a:chOff x="304799" y="18211800"/>
          <a:chExt cx="10679121" cy="1476375"/>
        </a:xfrm>
      </xdr:grpSpPr>
      <xdr:pic>
        <xdr:nvPicPr>
          <xdr:cNvPr id="4794835" name="Picture 36" descr="C:\Users\tszigeti\AppData\Local\Temp\SNAGHTML10abd88a.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04799" y="18211800"/>
            <a:ext cx="10679121"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40" name="Rectangle 39"/>
          <xdr:cNvSpPr/>
        </xdr:nvSpPr>
        <xdr:spPr>
          <a:xfrm>
            <a:off x="9789441" y="18995864"/>
            <a:ext cx="719852" cy="166822"/>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41" name="Straight Arrow Connector 40"/>
          <xdr:cNvCxnSpPr/>
        </xdr:nvCxnSpPr>
        <xdr:spPr>
          <a:xfrm>
            <a:off x="10374815" y="19154344"/>
            <a:ext cx="0" cy="533831"/>
          </a:xfrm>
          <a:prstGeom prst="straightConnector1">
            <a:avLst/>
          </a:prstGeom>
          <a:ln w="19050">
            <a:solidFill>
              <a:srgbClr val="FF0000"/>
            </a:solidFill>
            <a:tailEnd type="arrow"/>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9</xdr:col>
      <xdr:colOff>28575</xdr:colOff>
      <xdr:row>12</xdr:row>
      <xdr:rowOff>0</xdr:rowOff>
    </xdr:from>
    <xdr:to>
      <xdr:col>9</xdr:col>
      <xdr:colOff>238125</xdr:colOff>
      <xdr:row>13</xdr:row>
      <xdr:rowOff>19051</xdr:rowOff>
    </xdr:to>
    <xdr:sp macro="" textlink="">
      <xdr:nvSpPr>
        <xdr:cNvPr id="44" name="Rectangle 43"/>
        <xdr:cNvSpPr/>
      </xdr:nvSpPr>
      <xdr:spPr bwMode="auto">
        <a:xfrm>
          <a:off x="8372475" y="2409825"/>
          <a:ext cx="209550" cy="200026"/>
        </a:xfrm>
        <a:prstGeom prst="rect">
          <a:avLst/>
        </a:prstGeom>
        <a:noFill/>
        <a:ln w="3175">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p>
          <a:endParaRPr lang="en-GB"/>
        </a:p>
      </xdr:txBody>
    </xdr:sp>
    <xdr:clientData/>
  </xdr:twoCellAnchor>
  <xdr:twoCellAnchor>
    <xdr:from>
      <xdr:col>12</xdr:col>
      <xdr:colOff>514968</xdr:colOff>
      <xdr:row>12</xdr:row>
      <xdr:rowOff>69276</xdr:rowOff>
    </xdr:from>
    <xdr:to>
      <xdr:col>18</xdr:col>
      <xdr:colOff>116417</xdr:colOff>
      <xdr:row>35</xdr:row>
      <xdr:rowOff>21974</xdr:rowOff>
    </xdr:to>
    <xdr:grpSp>
      <xdr:nvGrpSpPr>
        <xdr:cNvPr id="4794827" name="Group 42"/>
        <xdr:cNvGrpSpPr>
          <a:grpSpLocks/>
        </xdr:cNvGrpSpPr>
      </xdr:nvGrpSpPr>
      <xdr:grpSpPr bwMode="auto">
        <a:xfrm>
          <a:off x="11743885" y="2471693"/>
          <a:ext cx="3750115" cy="4090781"/>
          <a:chOff x="13021691" y="1108536"/>
          <a:chExt cx="2830658" cy="3739688"/>
        </a:xfrm>
      </xdr:grpSpPr>
      <xdr:grpSp>
        <xdr:nvGrpSpPr>
          <xdr:cNvPr id="4794828" name="Group 31"/>
          <xdr:cNvGrpSpPr>
            <a:grpSpLocks/>
          </xdr:cNvGrpSpPr>
        </xdr:nvGrpSpPr>
        <xdr:grpSpPr bwMode="auto">
          <a:xfrm>
            <a:off x="13021691" y="1108536"/>
            <a:ext cx="2830658" cy="3739688"/>
            <a:chOff x="14212376" y="1603799"/>
            <a:chExt cx="2846543" cy="3701290"/>
          </a:xfrm>
        </xdr:grpSpPr>
        <xdr:pic>
          <xdr:nvPicPr>
            <xdr:cNvPr id="4623370" name="Picture 32"/>
            <xdr:cNvPicPr>
              <a:picLocks noChangeAspect="1"/>
            </xdr:cNvPicPr>
          </xdr:nvPicPr>
          <xdr:blipFill>
            <a:blip xmlns:r="http://schemas.openxmlformats.org/officeDocument/2006/relationships" r:embed="rId3"/>
            <a:srcRect/>
            <a:stretch>
              <a:fillRect/>
            </a:stretch>
          </xdr:blipFill>
          <xdr:spPr bwMode="auto">
            <a:xfrm>
              <a:off x="14212376" y="1603799"/>
              <a:ext cx="2846543" cy="1345146"/>
            </a:xfrm>
            <a:prstGeom prst="rect">
              <a:avLst/>
            </a:prstGeom>
            <a:noFill/>
            <a:ln w="9525">
              <a:solidFill>
                <a:srgbClr val="D9D9D9"/>
              </a:solidFill>
              <a:miter lim="800000"/>
              <a:headEnd/>
              <a:tailEnd/>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pic>
          <xdr:nvPicPr>
            <xdr:cNvPr id="4623371" name="Picture 33"/>
            <xdr:cNvPicPr>
              <a:picLocks noChangeAspect="1"/>
            </xdr:cNvPicPr>
          </xdr:nvPicPr>
          <xdr:blipFill>
            <a:blip xmlns:r="http://schemas.openxmlformats.org/officeDocument/2006/relationships" r:embed="rId4"/>
            <a:srcRect/>
            <a:stretch>
              <a:fillRect/>
            </a:stretch>
          </xdr:blipFill>
          <xdr:spPr bwMode="auto">
            <a:xfrm>
              <a:off x="14692041" y="2623367"/>
              <a:ext cx="1674900" cy="2681722"/>
            </a:xfrm>
            <a:prstGeom prst="rect">
              <a:avLst/>
            </a:prstGeom>
            <a:noFill/>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46" name="Rectangle 45"/>
          <xdr:cNvSpPr/>
        </xdr:nvSpPr>
        <xdr:spPr>
          <a:xfrm>
            <a:off x="13553417" y="3489125"/>
            <a:ext cx="1415329" cy="657908"/>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nvGrpSpPr>
          <xdr:cNvPr id="4794830" name="Group 46"/>
          <xdr:cNvGrpSpPr>
            <a:grpSpLocks/>
          </xdr:cNvGrpSpPr>
        </xdr:nvGrpSpPr>
        <xdr:grpSpPr bwMode="auto">
          <a:xfrm>
            <a:off x="13732765" y="2330538"/>
            <a:ext cx="1072770" cy="1112686"/>
            <a:chOff x="13732765" y="2330538"/>
            <a:chExt cx="1072770" cy="1112686"/>
          </a:xfrm>
        </xdr:grpSpPr>
        <xdr:sp macro="" textlink="">
          <xdr:nvSpPr>
            <xdr:cNvPr id="48" name="Rectangle 47"/>
            <xdr:cNvSpPr/>
          </xdr:nvSpPr>
          <xdr:spPr>
            <a:xfrm>
              <a:off x="13733265" y="2562860"/>
              <a:ext cx="1071271" cy="882982"/>
            </a:xfrm>
            <a:prstGeom prst="rect">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49" name="Straight Connector 48"/>
            <xdr:cNvCxnSpPr/>
          </xdr:nvCxnSpPr>
          <xdr:spPr>
            <a:xfrm>
              <a:off x="14116420" y="2329129"/>
              <a:ext cx="86014" cy="0"/>
            </a:xfrm>
            <a:prstGeom prst="line">
              <a:avLst/>
            </a:prstGeom>
            <a:ln w="6350">
              <a:solidFill>
                <a:schemeClr val="bg1"/>
              </a:solidFill>
              <a:tailEnd type="non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12</xdr:col>
      <xdr:colOff>511324</xdr:colOff>
      <xdr:row>2</xdr:row>
      <xdr:rowOff>181447</xdr:rowOff>
    </xdr:from>
    <xdr:to>
      <xdr:col>18</xdr:col>
      <xdr:colOff>97236</xdr:colOff>
      <xdr:row>11</xdr:row>
      <xdr:rowOff>125419</xdr:rowOff>
    </xdr:to>
    <xdr:sp macro="" textlink="">
      <xdr:nvSpPr>
        <xdr:cNvPr id="31" name="TextBox 30"/>
        <xdr:cNvSpPr txBox="1"/>
      </xdr:nvSpPr>
      <xdr:spPr>
        <a:xfrm>
          <a:off x="11740241" y="541280"/>
          <a:ext cx="3734578" cy="1806639"/>
        </a:xfrm>
        <a:prstGeom prst="rect">
          <a:avLst/>
        </a:prstGeom>
        <a:solidFill>
          <a:schemeClr val="lt1"/>
        </a:solidFill>
        <a:ln w="9525" cmpd="sng">
          <a:solidFill>
            <a:schemeClr val="lt1">
              <a:shade val="50000"/>
            </a:schemeClr>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en-GB" sz="1600" b="1">
              <a:solidFill>
                <a:sysClr val="windowText" lastClr="000000"/>
              </a:solidFill>
              <a:effectLst/>
              <a:latin typeface="+mn-lt"/>
              <a:ea typeface="+mn-ea"/>
              <a:cs typeface="+mn-cs"/>
            </a:rPr>
            <a:t>Refresh data and/or changing curves</a:t>
          </a:r>
          <a:r>
            <a:rPr lang="en-GB" sz="1400" b="1">
              <a:solidFill>
                <a:sysClr val="windowText" lastClr="000000"/>
              </a:solidFill>
              <a:effectLst/>
              <a:latin typeface="+mn-lt"/>
              <a:ea typeface="+mn-ea"/>
              <a:cs typeface="+mn-cs"/>
            </a:rPr>
            <a:t/>
          </a:r>
          <a:br>
            <a:rPr lang="en-GB" sz="1400" b="1">
              <a:solidFill>
                <a:sysClr val="windowText" lastClr="000000"/>
              </a:solidFill>
              <a:effectLst/>
              <a:latin typeface="+mn-lt"/>
              <a:ea typeface="+mn-ea"/>
              <a:cs typeface="+mn-cs"/>
            </a:rPr>
          </a:br>
          <a:r>
            <a:rPr lang="en-GB" sz="1400" b="1">
              <a:solidFill>
                <a:srgbClr val="FF0000"/>
              </a:solidFill>
              <a:effectLst/>
              <a:latin typeface="+mn-lt"/>
              <a:ea typeface="+mn-ea"/>
              <a:cs typeface="+mn-cs"/>
            </a:rPr>
            <a:t>Important </a:t>
          </a:r>
          <a:r>
            <a:rPr lang="en-GB" sz="1400">
              <a:solidFill>
                <a:schemeClr val="dk1"/>
              </a:solidFill>
              <a:effectLst/>
              <a:latin typeface="+mn-lt"/>
              <a:ea typeface="+mn-ea"/>
              <a:cs typeface="+mn-cs"/>
            </a:rPr>
            <a:t>If you change curve number and/or</a:t>
          </a:r>
          <a:r>
            <a:rPr lang="en-GB" sz="1400" baseline="0">
              <a:solidFill>
                <a:schemeClr val="dk1"/>
              </a:solidFill>
              <a:effectLst/>
              <a:latin typeface="+mn-lt"/>
              <a:ea typeface="+mn-ea"/>
              <a:cs typeface="+mn-cs"/>
            </a:rPr>
            <a:t> </a:t>
          </a:r>
          <a:r>
            <a:rPr lang="en-GB" sz="1400">
              <a:solidFill>
                <a:schemeClr val="dk1"/>
              </a:solidFill>
              <a:effectLst/>
              <a:latin typeface="+mn-lt"/>
              <a:ea typeface="+mn-ea"/>
              <a:cs typeface="+mn-cs"/>
            </a:rPr>
            <a:t>wish to refresh</a:t>
          </a:r>
          <a:r>
            <a:rPr lang="en-GB" sz="1400" baseline="0">
              <a:solidFill>
                <a:schemeClr val="dk1"/>
              </a:solidFill>
              <a:effectLst/>
              <a:latin typeface="+mn-lt"/>
              <a:ea typeface="+mn-ea"/>
              <a:cs typeface="+mn-cs"/>
            </a:rPr>
            <a:t> </a:t>
          </a:r>
          <a:r>
            <a:rPr lang="en-GB" sz="1400">
              <a:solidFill>
                <a:schemeClr val="dk1"/>
              </a:solidFill>
              <a:effectLst/>
              <a:latin typeface="+mn-lt"/>
              <a:ea typeface="+mn-ea"/>
              <a:cs typeface="+mn-cs"/>
            </a:rPr>
            <a:t>the</a:t>
          </a:r>
          <a:r>
            <a:rPr lang="en-GB" sz="1400" baseline="0">
              <a:solidFill>
                <a:schemeClr val="dk1"/>
              </a:solidFill>
              <a:effectLst/>
              <a:latin typeface="+mn-lt"/>
              <a:ea typeface="+mn-ea"/>
              <a:cs typeface="+mn-cs"/>
            </a:rPr>
            <a:t> data hold down the buttons </a:t>
          </a:r>
          <a:r>
            <a:rPr lang="en-GB" sz="1400" b="1" baseline="0">
              <a:solidFill>
                <a:srgbClr val="FF0000"/>
              </a:solidFill>
              <a:effectLst/>
              <a:latin typeface="+mn-lt"/>
              <a:ea typeface="+mn-ea"/>
              <a:cs typeface="+mn-cs"/>
            </a:rPr>
            <a:t>CTRL </a:t>
          </a:r>
          <a:r>
            <a:rPr lang="en-GB" sz="1400" baseline="0">
              <a:solidFill>
                <a:schemeClr val="dk1"/>
              </a:solidFill>
              <a:effectLst/>
              <a:latin typeface="+mn-lt"/>
              <a:ea typeface="+mn-ea"/>
              <a:cs typeface="+mn-cs"/>
            </a:rPr>
            <a:t>and </a:t>
          </a:r>
          <a:r>
            <a:rPr lang="en-GB" sz="1400" b="1" baseline="0">
              <a:solidFill>
                <a:srgbClr val="FF0000"/>
              </a:solidFill>
              <a:effectLst/>
              <a:latin typeface="+mn-lt"/>
              <a:ea typeface="+mn-ea"/>
              <a:cs typeface="+mn-cs"/>
            </a:rPr>
            <a:t>SHIFT</a:t>
          </a:r>
          <a:r>
            <a:rPr lang="en-GB" sz="1400" baseline="0">
              <a:solidFill>
                <a:schemeClr val="dk1"/>
              </a:solidFill>
              <a:effectLst/>
              <a:latin typeface="+mn-lt"/>
              <a:ea typeface="+mn-ea"/>
              <a:cs typeface="+mn-cs"/>
            </a:rPr>
            <a:t>  then press the letter </a:t>
          </a:r>
          <a:r>
            <a:rPr lang="en-GB" sz="1400" b="1" baseline="0">
              <a:solidFill>
                <a:srgbClr val="FF0000"/>
              </a:solidFill>
              <a:effectLst/>
              <a:latin typeface="+mn-lt"/>
              <a:ea typeface="+mn-ea"/>
              <a:cs typeface="+mn-cs"/>
            </a:rPr>
            <a:t>C ...</a:t>
          </a:r>
          <a:br>
            <a:rPr lang="en-GB" sz="1400" b="1" baseline="0">
              <a:solidFill>
                <a:srgbClr val="FF0000"/>
              </a:solidFill>
              <a:effectLst/>
              <a:latin typeface="+mn-lt"/>
              <a:ea typeface="+mn-ea"/>
              <a:cs typeface="+mn-cs"/>
            </a:rPr>
          </a:br>
          <a:endParaRPr lang="en-GB" sz="1400" b="1">
            <a:solidFill>
              <a:srgbClr val="FF0000"/>
            </a:solidFill>
            <a:effectLst/>
          </a:endParaRPr>
        </a:p>
        <a:p>
          <a:pPr algn="ctr"/>
          <a:r>
            <a:rPr lang="en-GB" sz="1800">
              <a:solidFill>
                <a:srgbClr val="FF0000"/>
              </a:solidFill>
            </a:rPr>
            <a:t>or use the Bloomberg Toolbar</a:t>
          </a:r>
          <a:r>
            <a:rPr lang="en-GB" sz="1800" baseline="0">
              <a:solidFill>
                <a:srgbClr val="FF0000"/>
              </a:solidFill>
            </a:rPr>
            <a:t> Buttons as see below</a:t>
          </a:r>
          <a:endParaRPr lang="en-GB" sz="1800">
            <a:solidFill>
              <a:srgbClr val="FF0000"/>
            </a:solidFill>
          </a:endParaRPr>
        </a:p>
      </xdr:txBody>
    </xdr:sp>
    <xdr:clientData/>
  </xdr:twoCellAnchor>
  <xdr:twoCellAnchor>
    <xdr:from>
      <xdr:col>4</xdr:col>
      <xdr:colOff>412757</xdr:colOff>
      <xdr:row>3</xdr:row>
      <xdr:rowOff>126999</xdr:rowOff>
    </xdr:from>
    <xdr:to>
      <xdr:col>12</xdr:col>
      <xdr:colOff>401257</xdr:colOff>
      <xdr:row>3</xdr:row>
      <xdr:rowOff>126999</xdr:rowOff>
    </xdr:to>
    <xdr:cxnSp macro="">
      <xdr:nvCxnSpPr>
        <xdr:cNvPr id="4" name="Straight Connector 3"/>
        <xdr:cNvCxnSpPr/>
      </xdr:nvCxnSpPr>
      <xdr:spPr>
        <a:xfrm>
          <a:off x="4466174" y="687916"/>
          <a:ext cx="7164000" cy="0"/>
        </a:xfrm>
        <a:prstGeom prst="line">
          <a:avLst/>
        </a:prstGeom>
        <a:ln w="12700">
          <a:solidFill>
            <a:srgbClr val="FF0000"/>
          </a:solidFill>
          <a:prstDash val="dash"/>
          <a:tailEnd type="non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0</xdr:row>
      <xdr:rowOff>0</xdr:rowOff>
    </xdr:from>
    <xdr:to>
      <xdr:col>20</xdr:col>
      <xdr:colOff>452833</xdr:colOff>
      <xdr:row>2</xdr:row>
      <xdr:rowOff>167</xdr:rowOff>
    </xdr:to>
    <xdr:sp macro="" textlink="">
      <xdr:nvSpPr>
        <xdr:cNvPr id="2" name="com_bar"/>
        <xdr:cNvSpPr>
          <a:spLocks noChangeArrowheads="1"/>
        </xdr:cNvSpPr>
      </xdr:nvSpPr>
      <xdr:spPr bwMode="auto">
        <a:xfrm>
          <a:off x="0" y="0"/>
          <a:ext cx="20912533" cy="362117"/>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cs typeface="+mn-cs"/>
            </a:rPr>
            <a:t>Make a Bloomberg Matrix</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311143</xdr:colOff>
      <xdr:row>19</xdr:row>
      <xdr:rowOff>0</xdr:rowOff>
    </xdr:from>
    <xdr:to>
      <xdr:col>1</xdr:col>
      <xdr:colOff>766226</xdr:colOff>
      <xdr:row>22</xdr:row>
      <xdr:rowOff>84666</xdr:rowOff>
    </xdr:to>
    <xdr:sp macro="" textlink="">
      <xdr:nvSpPr>
        <xdr:cNvPr id="3" name="Down Arrow 2"/>
        <xdr:cNvSpPr/>
      </xdr:nvSpPr>
      <xdr:spPr>
        <a:xfrm>
          <a:off x="558793" y="3590925"/>
          <a:ext cx="455083" cy="627591"/>
        </a:xfrm>
        <a:prstGeom prst="downArrow">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254000</xdr:colOff>
      <xdr:row>24</xdr:row>
      <xdr:rowOff>0</xdr:rowOff>
    </xdr:from>
    <xdr:to>
      <xdr:col>7</xdr:col>
      <xdr:colOff>258536</xdr:colOff>
      <xdr:row>24</xdr:row>
      <xdr:rowOff>173491</xdr:rowOff>
    </xdr:to>
    <xdr:cxnSp macro="">
      <xdr:nvCxnSpPr>
        <xdr:cNvPr id="4" name="Straight Arrow Connector 3"/>
        <xdr:cNvCxnSpPr/>
      </xdr:nvCxnSpPr>
      <xdr:spPr>
        <a:xfrm>
          <a:off x="7874000" y="4495800"/>
          <a:ext cx="4536" cy="173491"/>
        </a:xfrm>
        <a:prstGeom prst="straightConnector1">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253999</xdr:colOff>
      <xdr:row>9</xdr:row>
      <xdr:rowOff>4</xdr:rowOff>
    </xdr:from>
    <xdr:to>
      <xdr:col>7</xdr:col>
      <xdr:colOff>258535</xdr:colOff>
      <xdr:row>9</xdr:row>
      <xdr:rowOff>173495</xdr:rowOff>
    </xdr:to>
    <xdr:cxnSp macro="">
      <xdr:nvCxnSpPr>
        <xdr:cNvPr id="5" name="Straight Arrow Connector 4"/>
        <xdr:cNvCxnSpPr/>
      </xdr:nvCxnSpPr>
      <xdr:spPr>
        <a:xfrm>
          <a:off x="7873999" y="1778004"/>
          <a:ext cx="4536" cy="173491"/>
        </a:xfrm>
        <a:prstGeom prst="straightConnector1">
          <a:avLst/>
        </a:prstGeom>
        <a:ln w="63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0</xdr:row>
      <xdr:rowOff>0</xdr:rowOff>
    </xdr:from>
    <xdr:to>
      <xdr:col>29</xdr:col>
      <xdr:colOff>569250</xdr:colOff>
      <xdr:row>1</xdr:row>
      <xdr:rowOff>169500</xdr:rowOff>
    </xdr:to>
    <xdr:sp macro="" textlink="">
      <xdr:nvSpPr>
        <xdr:cNvPr id="2"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BQR &amp; BQRP (Bloomberg Quote Recap &amp; Bloomberg Quote Recap Points)</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28575</xdr:colOff>
      <xdr:row>11</xdr:row>
      <xdr:rowOff>66675</xdr:rowOff>
    </xdr:from>
    <xdr:to>
      <xdr:col>21</xdr:col>
      <xdr:colOff>304800</xdr:colOff>
      <xdr:row>57</xdr:row>
      <xdr:rowOff>114300</xdr:rowOff>
    </xdr:to>
    <xdr:grpSp>
      <xdr:nvGrpSpPr>
        <xdr:cNvPr id="4840496" name="Group 10"/>
        <xdr:cNvGrpSpPr>
          <a:grpSpLocks/>
        </xdr:cNvGrpSpPr>
      </xdr:nvGrpSpPr>
      <xdr:grpSpPr bwMode="auto">
        <a:xfrm>
          <a:off x="271992" y="2225675"/>
          <a:ext cx="12552891" cy="8810625"/>
          <a:chOff x="276225" y="2219325"/>
          <a:chExt cx="8483170" cy="6205537"/>
        </a:xfrm>
      </xdr:grpSpPr>
      <xdr:pic>
        <xdr:nvPicPr>
          <xdr:cNvPr id="6" name="Picture 5"/>
          <xdr:cNvPicPr>
            <a:picLocks noChangeAspect="1"/>
          </xdr:cNvPicPr>
        </xdr:nvPicPr>
        <xdr:blipFill>
          <a:blip xmlns:r="http://schemas.openxmlformats.org/officeDocument/2006/relationships" r:embed="rId1"/>
          <a:stretch>
            <a:fillRect/>
          </a:stretch>
        </xdr:blipFill>
        <xdr:spPr>
          <a:xfrm>
            <a:off x="276225" y="2219325"/>
            <a:ext cx="8483170" cy="6205537"/>
          </a:xfrm>
          <a:prstGeom prst="rect">
            <a:avLst/>
          </a:prstGeom>
          <a:effectLst>
            <a:outerShdw blurRad="50800" dist="38100" dir="2700000" algn="tl" rotWithShape="0">
              <a:prstClr val="black">
                <a:alpha val="40000"/>
              </a:prstClr>
            </a:outerShdw>
          </a:effectLst>
        </xdr:spPr>
      </xdr:pic>
      <xdr:sp macro="" textlink="">
        <xdr:nvSpPr>
          <xdr:cNvPr id="8" name="Rectangle 7"/>
          <xdr:cNvSpPr/>
        </xdr:nvSpPr>
        <xdr:spPr>
          <a:xfrm>
            <a:off x="723390" y="8176641"/>
            <a:ext cx="544375" cy="147591"/>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5</xdr:col>
      <xdr:colOff>104775</xdr:colOff>
      <xdr:row>22</xdr:row>
      <xdr:rowOff>161925</xdr:rowOff>
    </xdr:from>
    <xdr:to>
      <xdr:col>25</xdr:col>
      <xdr:colOff>390525</xdr:colOff>
      <xdr:row>69</xdr:row>
      <xdr:rowOff>19050</xdr:rowOff>
    </xdr:to>
    <xdr:grpSp>
      <xdr:nvGrpSpPr>
        <xdr:cNvPr id="4840497" name="Group 9"/>
        <xdr:cNvGrpSpPr>
          <a:grpSpLocks/>
        </xdr:cNvGrpSpPr>
      </xdr:nvGrpSpPr>
      <xdr:grpSpPr bwMode="auto">
        <a:xfrm>
          <a:off x="2803525" y="4416425"/>
          <a:ext cx="12562417" cy="8810625"/>
          <a:chOff x="2647951" y="3414713"/>
          <a:chExt cx="8480515" cy="6205537"/>
        </a:xfrm>
      </xdr:grpSpPr>
      <xdr:pic>
        <xdr:nvPicPr>
          <xdr:cNvPr id="5" name="Picture 4"/>
          <xdr:cNvPicPr>
            <a:picLocks noChangeAspect="1"/>
          </xdr:cNvPicPr>
        </xdr:nvPicPr>
        <xdr:blipFill>
          <a:blip xmlns:r="http://schemas.openxmlformats.org/officeDocument/2006/relationships" r:embed="rId2"/>
          <a:stretch>
            <a:fillRect/>
          </a:stretch>
        </xdr:blipFill>
        <xdr:spPr>
          <a:xfrm>
            <a:off x="2647951" y="3414713"/>
            <a:ext cx="8480515" cy="6205537"/>
          </a:xfrm>
          <a:prstGeom prst="rect">
            <a:avLst/>
          </a:prstGeom>
          <a:effectLst>
            <a:outerShdw blurRad="50800" dist="38100" dir="2700000" algn="tl" rotWithShape="0">
              <a:prstClr val="black">
                <a:alpha val="40000"/>
              </a:prstClr>
            </a:outerShdw>
          </a:effectLst>
        </xdr:spPr>
      </xdr:pic>
      <xdr:sp macro="" textlink="">
        <xdr:nvSpPr>
          <xdr:cNvPr id="9" name="Rectangle 8"/>
          <xdr:cNvSpPr/>
        </xdr:nvSpPr>
        <xdr:spPr>
          <a:xfrm>
            <a:off x="3631950" y="9372029"/>
            <a:ext cx="589104" cy="134174"/>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wsDr>
</file>

<file path=xl/drawings/drawing38.xml><?xml version="1.0" encoding="utf-8"?>
<xdr:wsDr xmlns:xdr="http://schemas.openxmlformats.org/drawingml/2006/spreadsheetDrawing" xmlns:a="http://schemas.openxmlformats.org/drawingml/2006/main">
  <xdr:twoCellAnchor>
    <xdr:from>
      <xdr:col>18</xdr:col>
      <xdr:colOff>76200</xdr:colOff>
      <xdr:row>3</xdr:row>
      <xdr:rowOff>57150</xdr:rowOff>
    </xdr:from>
    <xdr:to>
      <xdr:col>33</xdr:col>
      <xdr:colOff>323850</xdr:colOff>
      <xdr:row>168</xdr:row>
      <xdr:rowOff>9525</xdr:rowOff>
    </xdr:to>
    <xdr:grpSp>
      <xdr:nvGrpSpPr>
        <xdr:cNvPr id="4814445" name="Group 9"/>
        <xdr:cNvGrpSpPr>
          <a:grpSpLocks/>
        </xdr:cNvGrpSpPr>
      </xdr:nvGrpSpPr>
      <xdr:grpSpPr bwMode="auto">
        <a:xfrm>
          <a:off x="10754783" y="755650"/>
          <a:ext cx="9455150" cy="31384875"/>
          <a:chOff x="247650" y="757238"/>
          <a:chExt cx="9534525" cy="31384875"/>
        </a:xfrm>
      </xdr:grpSpPr>
      <xdr:grpSp>
        <xdr:nvGrpSpPr>
          <xdr:cNvPr id="4814467" name="Group 8"/>
          <xdr:cNvGrpSpPr>
            <a:grpSpLocks/>
          </xdr:cNvGrpSpPr>
        </xdr:nvGrpSpPr>
        <xdr:grpSpPr bwMode="auto">
          <a:xfrm>
            <a:off x="247650" y="757238"/>
            <a:ext cx="9534525" cy="31384875"/>
            <a:chOff x="247650" y="757238"/>
            <a:chExt cx="9534525" cy="31384875"/>
          </a:xfrm>
        </xdr:grpSpPr>
        <xdr:grpSp>
          <xdr:nvGrpSpPr>
            <xdr:cNvPr id="4814469" name="Group 1"/>
            <xdr:cNvGrpSpPr>
              <a:grpSpLocks/>
            </xdr:cNvGrpSpPr>
          </xdr:nvGrpSpPr>
          <xdr:grpSpPr bwMode="auto">
            <a:xfrm>
              <a:off x="247650" y="757238"/>
              <a:ext cx="8905875" cy="5400675"/>
              <a:chOff x="4463332" y="1085850"/>
              <a:chExt cx="8759757" cy="5401768"/>
            </a:xfrm>
          </xdr:grpSpPr>
          <xdr:pic>
            <xdr:nvPicPr>
              <xdr:cNvPr id="3463242" name="Picture 1"/>
              <xdr:cNvPicPr>
                <a:picLocks noChangeAspect="1"/>
              </xdr:cNvPicPr>
            </xdr:nvPicPr>
            <xdr:blipFill>
              <a:blip xmlns:r="http://schemas.openxmlformats.org/officeDocument/2006/relationships" r:embed="rId1"/>
              <a:srcRect/>
              <a:stretch>
                <a:fillRect/>
              </a:stretch>
            </xdr:blipFill>
            <xdr:spPr bwMode="auto">
              <a:xfrm>
                <a:off x="4463332" y="1085850"/>
                <a:ext cx="8759862" cy="5096906"/>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814493" name="Group 12"/>
              <xdr:cNvGrpSpPr>
                <a:grpSpLocks/>
              </xdr:cNvGrpSpPr>
            </xdr:nvGrpSpPr>
            <xdr:grpSpPr bwMode="auto">
              <a:xfrm>
                <a:off x="4568249" y="3114875"/>
                <a:ext cx="2814814" cy="3372743"/>
                <a:chOff x="717689" y="2790824"/>
                <a:chExt cx="2843832" cy="3081900"/>
              </a:xfrm>
            </xdr:grpSpPr>
            <xdr:grpSp>
              <xdr:nvGrpSpPr>
                <xdr:cNvPr id="4814494" name="Group 9"/>
                <xdr:cNvGrpSpPr>
                  <a:grpSpLocks/>
                </xdr:cNvGrpSpPr>
              </xdr:nvGrpSpPr>
              <xdr:grpSpPr bwMode="auto">
                <a:xfrm>
                  <a:off x="717689" y="2790824"/>
                  <a:ext cx="2834258" cy="206997"/>
                  <a:chOff x="717689" y="2790824"/>
                  <a:chExt cx="2834258" cy="206997"/>
                </a:xfrm>
              </xdr:grpSpPr>
              <xdr:sp macro="" textlink="">
                <xdr:nvSpPr>
                  <xdr:cNvPr id="4" name="Rectangle 3"/>
                  <xdr:cNvSpPr/>
                </xdr:nvSpPr>
                <xdr:spPr>
                  <a:xfrm>
                    <a:off x="717392" y="2791017"/>
                    <a:ext cx="1326084" cy="208929"/>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8" name="Straight Connector 7"/>
                  <xdr:cNvCxnSpPr/>
                </xdr:nvCxnSpPr>
                <xdr:spPr>
                  <a:xfrm flipV="1">
                    <a:off x="2033867" y="2999946"/>
                    <a:ext cx="1518270" cy="0"/>
                  </a:xfrm>
                  <a:prstGeom prst="line">
                    <a:avLst/>
                  </a:prstGeom>
                  <a:ln w="190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grpSp>
            <xdr:cxnSp macro="">
              <xdr:nvCxnSpPr>
                <xdr:cNvPr id="12" name="Straight Arrow Connector 11"/>
                <xdr:cNvCxnSpPr/>
              </xdr:nvCxnSpPr>
              <xdr:spPr>
                <a:xfrm>
                  <a:off x="3552137" y="2991241"/>
                  <a:ext cx="9609" cy="2881483"/>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4814470" name="Group 27"/>
            <xdr:cNvGrpSpPr>
              <a:grpSpLocks/>
            </xdr:cNvGrpSpPr>
          </xdr:nvGrpSpPr>
          <xdr:grpSpPr bwMode="auto">
            <a:xfrm>
              <a:off x="571500" y="11787188"/>
              <a:ext cx="9210675" cy="20354925"/>
              <a:chOff x="5675480" y="11765404"/>
              <a:chExt cx="9778205" cy="20347218"/>
            </a:xfrm>
          </xdr:grpSpPr>
          <xdr:grpSp>
            <xdr:nvGrpSpPr>
              <xdr:cNvPr id="4814476" name="Group 26"/>
              <xdr:cNvGrpSpPr>
                <a:grpSpLocks/>
              </xdr:cNvGrpSpPr>
            </xdr:nvGrpSpPr>
            <xdr:grpSpPr bwMode="auto">
              <a:xfrm>
                <a:off x="5675480" y="11765404"/>
                <a:ext cx="9778205" cy="20347218"/>
                <a:chOff x="5675480" y="11765404"/>
                <a:chExt cx="9778205" cy="20347218"/>
              </a:xfrm>
            </xdr:grpSpPr>
            <xdr:grpSp>
              <xdr:nvGrpSpPr>
                <xdr:cNvPr id="4814478" name="Group 25"/>
                <xdr:cNvGrpSpPr>
                  <a:grpSpLocks/>
                </xdr:cNvGrpSpPr>
              </xdr:nvGrpSpPr>
              <xdr:grpSpPr bwMode="auto">
                <a:xfrm>
                  <a:off x="5675480" y="11765404"/>
                  <a:ext cx="9778205" cy="20347218"/>
                  <a:chOff x="5675480" y="11765404"/>
                  <a:chExt cx="9778205" cy="20347218"/>
                </a:xfrm>
              </xdr:grpSpPr>
              <xdr:grpSp>
                <xdr:nvGrpSpPr>
                  <xdr:cNvPr id="4814480" name="Group 20"/>
                  <xdr:cNvGrpSpPr>
                    <a:grpSpLocks/>
                  </xdr:cNvGrpSpPr>
                </xdr:nvGrpSpPr>
                <xdr:grpSpPr bwMode="auto">
                  <a:xfrm>
                    <a:off x="5675480" y="11765404"/>
                    <a:ext cx="9778205" cy="20347218"/>
                    <a:chOff x="5628154" y="11732559"/>
                    <a:chExt cx="9986023" cy="20347218"/>
                  </a:xfrm>
                </xdr:grpSpPr>
                <xdr:grpSp>
                  <xdr:nvGrpSpPr>
                    <xdr:cNvPr id="4814482" name="Group 19"/>
                    <xdr:cNvGrpSpPr>
                      <a:grpSpLocks/>
                    </xdr:cNvGrpSpPr>
                  </xdr:nvGrpSpPr>
                  <xdr:grpSpPr bwMode="auto">
                    <a:xfrm>
                      <a:off x="5628154" y="11732559"/>
                      <a:ext cx="9986023" cy="20347218"/>
                      <a:chOff x="5542429" y="11732559"/>
                      <a:chExt cx="9833623" cy="20347218"/>
                    </a:xfrm>
                  </xdr:grpSpPr>
                  <xdr:pic>
                    <xdr:nvPicPr>
                      <xdr:cNvPr id="4814484" name="Picture 18"/>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267700" y="28698825"/>
                        <a:ext cx="6780952" cy="33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814485" name="Group 13"/>
                      <xdr:cNvGrpSpPr>
                        <a:grpSpLocks/>
                      </xdr:cNvGrpSpPr>
                    </xdr:nvGrpSpPr>
                    <xdr:grpSpPr bwMode="auto">
                      <a:xfrm>
                        <a:off x="5542429" y="11732559"/>
                        <a:ext cx="9833623" cy="17190012"/>
                        <a:chOff x="5529241" y="11732559"/>
                        <a:chExt cx="9810176" cy="17190012"/>
                      </a:xfrm>
                    </xdr:grpSpPr>
                    <xdr:grpSp>
                      <xdr:nvGrpSpPr>
                        <xdr:cNvPr id="4814488" name="Group 8"/>
                        <xdr:cNvGrpSpPr>
                          <a:grpSpLocks/>
                        </xdr:cNvGrpSpPr>
                      </xdr:nvGrpSpPr>
                      <xdr:grpSpPr bwMode="auto">
                        <a:xfrm>
                          <a:off x="5529241" y="11732559"/>
                          <a:ext cx="9810176" cy="12130185"/>
                          <a:chOff x="5502088" y="11732559"/>
                          <a:chExt cx="9761905" cy="12130185"/>
                        </a:xfrm>
                      </xdr:grpSpPr>
                      <xdr:pic>
                        <xdr:nvPicPr>
                          <xdr:cNvPr id="4814490" name="Picture 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502088" y="11732559"/>
                            <a:ext cx="9761905" cy="6352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14491" name="Picture 6"/>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269942" y="17929411"/>
                            <a:ext cx="6980952" cy="593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89" name="Picture 12"/>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290024" y="22941619"/>
                          <a:ext cx="6880805" cy="598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86" name="Picture 23"/>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rot="5400000">
                        <a:off x="10610850" y="29708475"/>
                        <a:ext cx="38095" cy="4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814487" name="Picture 2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77796" y="27379904"/>
                        <a:ext cx="38095" cy="4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83" name="Picture 22"/>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rot="5400000">
                      <a:off x="13015913" y="29675137"/>
                      <a:ext cx="38095" cy="4761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81" name="Picture 33"/>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395102" y="22735309"/>
                    <a:ext cx="37880" cy="4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79" name="Picture 3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390887" y="27400224"/>
                  <a:ext cx="37880" cy="4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14477" name="Picture 35"/>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397210" y="18069791"/>
                <a:ext cx="37880" cy="4695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nvGrpSpPr>
            <xdr:cNvPr id="58" name="Group 5"/>
            <xdr:cNvGrpSpPr>
              <a:grpSpLocks/>
            </xdr:cNvGrpSpPr>
          </xdr:nvGrpSpPr>
          <xdr:grpSpPr bwMode="auto">
            <a:xfrm>
              <a:off x="644116" y="6300788"/>
              <a:ext cx="9118719" cy="5353050"/>
              <a:chOff x="621253" y="5995582"/>
              <a:chExt cx="8911115" cy="5353441"/>
            </a:xfrm>
            <a:effectLst>
              <a:outerShdw blurRad="50800" dist="38100" dir="2700000" algn="tl" rotWithShape="0">
                <a:prstClr val="black">
                  <a:alpha val="40000"/>
                </a:prstClr>
              </a:outerShdw>
            </a:effectLst>
          </xdr:grpSpPr>
          <xdr:grpSp>
            <xdr:nvGrpSpPr>
              <xdr:cNvPr id="4814472" name="Group 2"/>
              <xdr:cNvGrpSpPr>
                <a:grpSpLocks/>
              </xdr:cNvGrpSpPr>
            </xdr:nvGrpSpPr>
            <xdr:grpSpPr bwMode="auto">
              <a:xfrm>
                <a:off x="621253" y="5995582"/>
                <a:ext cx="8911115" cy="5353441"/>
                <a:chOff x="6348477" y="6532445"/>
                <a:chExt cx="8926397" cy="5353441"/>
              </a:xfrm>
            </xdr:grpSpPr>
            <xdr:pic>
              <xdr:nvPicPr>
                <xdr:cNvPr id="3463215" name="Picture 2"/>
                <xdr:cNvPicPr>
                  <a:picLocks noChangeAspect="1"/>
                </xdr:cNvPicPr>
              </xdr:nvPicPr>
              <xdr:blipFill>
                <a:blip xmlns:r="http://schemas.openxmlformats.org/officeDocument/2006/relationships" r:embed="rId7"/>
                <a:srcRect/>
                <a:stretch>
                  <a:fillRect/>
                </a:stretch>
              </xdr:blipFill>
              <xdr:spPr bwMode="auto">
                <a:xfrm>
                  <a:off x="6348477" y="6532445"/>
                  <a:ext cx="8869601" cy="5096247"/>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xnSp macro="">
              <xdr:nvCxnSpPr>
                <xdr:cNvPr id="16" name="Straight Arrow Connector 15"/>
                <xdr:cNvCxnSpPr/>
              </xdr:nvCxnSpPr>
              <xdr:spPr bwMode="auto">
                <a:xfrm>
                  <a:off x="10238985" y="7446912"/>
                  <a:ext cx="18932" cy="4438974"/>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sp macro="" textlink="">
            <xdr:nvSpPr>
              <xdr:cNvPr id="5" name="TextBox 4"/>
              <xdr:cNvSpPr txBox="1"/>
            </xdr:nvSpPr>
            <xdr:spPr>
              <a:xfrm>
                <a:off x="4505101" y="6910049"/>
                <a:ext cx="2390787" cy="266719"/>
              </a:xfrm>
              <a:prstGeom prst="rect">
                <a:avLst/>
              </a:prstGeom>
              <a:solidFill>
                <a:schemeClr val="tx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400" b="0">
                    <a:solidFill>
                      <a:schemeClr val="bg1"/>
                    </a:solidFill>
                  </a:rPr>
                  <a:t>Click on blue link just above ...</a:t>
                </a:r>
                <a:r>
                  <a:rPr lang="en-GB" sz="1400" b="0" baseline="0">
                    <a:solidFill>
                      <a:schemeClr val="bg1"/>
                    </a:solidFill>
                  </a:rPr>
                  <a:t> </a:t>
                </a:r>
                <a:r>
                  <a:rPr lang="en-GB" sz="1400" b="0">
                    <a:solidFill>
                      <a:schemeClr val="bg1"/>
                    </a:solidFill>
                  </a:rPr>
                  <a:t>... </a:t>
                </a:r>
              </a:p>
            </xdr:txBody>
          </xdr:sp>
        </xdr:grpSp>
      </xdr:grpSp>
      <xdr:sp macro="" textlink="">
        <xdr:nvSpPr>
          <xdr:cNvPr id="43" name="TextBox 42"/>
          <xdr:cNvSpPr txBox="1"/>
        </xdr:nvSpPr>
        <xdr:spPr>
          <a:xfrm>
            <a:off x="4782835" y="11463338"/>
            <a:ext cx="4158059" cy="266700"/>
          </a:xfrm>
          <a:prstGeom prst="rect">
            <a:avLst/>
          </a:prstGeom>
          <a:no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GB" sz="1400" b="0">
                <a:solidFill>
                  <a:srgbClr val="FF0000"/>
                </a:solidFill>
              </a:rPr>
              <a:t>... and then scroll down until you see the below pages</a:t>
            </a:r>
          </a:p>
        </xdr:txBody>
      </xdr:sp>
    </xdr:grpSp>
    <xdr:clientData/>
  </xdr:twoCellAnchor>
  <xdr:twoCellAnchor>
    <xdr:from>
      <xdr:col>0</xdr:col>
      <xdr:colOff>0</xdr:colOff>
      <xdr:row>0</xdr:row>
      <xdr:rowOff>0</xdr:rowOff>
    </xdr:from>
    <xdr:to>
      <xdr:col>29</xdr:col>
      <xdr:colOff>569250</xdr:colOff>
      <xdr:row>1</xdr:row>
      <xdr:rowOff>169500</xdr:rowOff>
    </xdr:to>
    <xdr:sp macro="" textlink="">
      <xdr:nvSpPr>
        <xdr:cNvPr id="72" name="com_bar"/>
        <xdr:cNvSpPr>
          <a:spLocks noChangeArrowheads="1"/>
        </xdr:cNvSpPr>
      </xdr:nvSpPr>
      <xdr:spPr bwMode="auto">
        <a:xfrm>
          <a:off x="0"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mn-lt"/>
            </a:rPr>
            <a:t>Bloomberg Resource Center &amp; </a:t>
          </a:r>
          <a:r>
            <a:rPr lang="en-US" sz="1800" b="1" i="0" baseline="0">
              <a:effectLst/>
              <a:latin typeface="+mn-lt"/>
              <a:ea typeface="+mn-ea"/>
              <a:cs typeface="+mn-cs"/>
            </a:rPr>
            <a:t>Derivative Library </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38100</xdr:colOff>
      <xdr:row>3</xdr:row>
      <xdr:rowOff>47625</xdr:rowOff>
    </xdr:from>
    <xdr:to>
      <xdr:col>17</xdr:col>
      <xdr:colOff>0</xdr:colOff>
      <xdr:row>101</xdr:row>
      <xdr:rowOff>95250</xdr:rowOff>
    </xdr:to>
    <xdr:grpSp>
      <xdr:nvGrpSpPr>
        <xdr:cNvPr id="4814447" name="Group 6"/>
        <xdr:cNvGrpSpPr>
          <a:grpSpLocks/>
        </xdr:cNvGrpSpPr>
      </xdr:nvGrpSpPr>
      <xdr:grpSpPr bwMode="auto">
        <a:xfrm>
          <a:off x="281517" y="746125"/>
          <a:ext cx="9783233" cy="18716625"/>
          <a:chOff x="11990509" y="766763"/>
          <a:chExt cx="10193216" cy="18716625"/>
        </a:xfrm>
      </xdr:grpSpPr>
      <xdr:grpSp>
        <xdr:nvGrpSpPr>
          <xdr:cNvPr id="4814448" name="Group 5"/>
          <xdr:cNvGrpSpPr>
            <a:grpSpLocks/>
          </xdr:cNvGrpSpPr>
        </xdr:nvGrpSpPr>
        <xdr:grpSpPr bwMode="auto">
          <a:xfrm>
            <a:off x="11990509" y="766763"/>
            <a:ext cx="10193216" cy="18716625"/>
            <a:chOff x="11889047" y="771939"/>
            <a:chExt cx="10087613" cy="18716625"/>
          </a:xfrm>
        </xdr:grpSpPr>
        <xdr:grpSp>
          <xdr:nvGrpSpPr>
            <xdr:cNvPr id="4814450" name="Group 1"/>
            <xdr:cNvGrpSpPr>
              <a:grpSpLocks/>
            </xdr:cNvGrpSpPr>
          </xdr:nvGrpSpPr>
          <xdr:grpSpPr bwMode="auto">
            <a:xfrm>
              <a:off x="11889047" y="771939"/>
              <a:ext cx="10087613" cy="18716625"/>
              <a:chOff x="11900551" y="774700"/>
              <a:chExt cx="10103257" cy="18716625"/>
            </a:xfrm>
          </xdr:grpSpPr>
          <xdr:pic>
            <xdr:nvPicPr>
              <xdr:cNvPr id="3" name="Picture 2"/>
              <xdr:cNvPicPr>
                <a:picLocks noChangeAspect="1"/>
              </xdr:cNvPicPr>
            </xdr:nvPicPr>
            <xdr:blipFill>
              <a:blip xmlns:r="http://schemas.openxmlformats.org/officeDocument/2006/relationships" r:embed="rId8"/>
              <a:stretch>
                <a:fillRect/>
              </a:stretch>
            </xdr:blipFill>
            <xdr:spPr>
              <a:xfrm>
                <a:off x="11900551" y="774700"/>
                <a:ext cx="8983975" cy="5086350"/>
              </a:xfrm>
              <a:prstGeom prst="rect">
                <a:avLst/>
              </a:prstGeom>
              <a:ln>
                <a:noFill/>
              </a:ln>
              <a:effectLst>
                <a:outerShdw blurRad="50800" dist="38100" dir="2700000" algn="tl" rotWithShape="0">
                  <a:prstClr val="black">
                    <a:alpha val="40000"/>
                  </a:prstClr>
                </a:outerShdw>
              </a:effectLst>
            </xdr:spPr>
          </xdr:pic>
          <xdr:grpSp>
            <xdr:nvGrpSpPr>
              <xdr:cNvPr id="57" name="Group 29"/>
              <xdr:cNvGrpSpPr>
                <a:grpSpLocks/>
              </xdr:cNvGrpSpPr>
            </xdr:nvGrpSpPr>
            <xdr:grpSpPr bwMode="auto">
              <a:xfrm>
                <a:off x="11920361" y="6051550"/>
                <a:ext cx="10083447" cy="13439775"/>
                <a:chOff x="11888343" y="5783187"/>
                <a:chExt cx="10085776" cy="13444980"/>
              </a:xfrm>
              <a:effectLst>
                <a:outerShdw blurRad="50800" dist="38100" dir="2700000" algn="tl" rotWithShape="0">
                  <a:prstClr val="black">
                    <a:alpha val="40000"/>
                  </a:prstClr>
                </a:outerShdw>
              </a:effectLst>
            </xdr:grpSpPr>
            <xdr:grpSp>
              <xdr:nvGrpSpPr>
                <xdr:cNvPr id="4814458" name="Group 10"/>
                <xdr:cNvGrpSpPr>
                  <a:grpSpLocks/>
                </xdr:cNvGrpSpPr>
              </xdr:nvGrpSpPr>
              <xdr:grpSpPr bwMode="auto">
                <a:xfrm>
                  <a:off x="11888343" y="5783187"/>
                  <a:ext cx="5057340" cy="7418277"/>
                  <a:chOff x="15320519" y="5930295"/>
                  <a:chExt cx="5023331" cy="7418277"/>
                </a:xfrm>
              </xdr:grpSpPr>
              <xdr:pic>
                <xdr:nvPicPr>
                  <xdr:cNvPr id="3463217" name="Picture 48"/>
                  <xdr:cNvPicPr>
                    <a:picLocks noChangeAspect="1"/>
                  </xdr:cNvPicPr>
                </xdr:nvPicPr>
                <xdr:blipFill>
                  <a:blip xmlns:r="http://schemas.openxmlformats.org/officeDocument/2006/relationships" r:embed="rId9"/>
                  <a:srcRect/>
                  <a:stretch>
                    <a:fillRect/>
                  </a:stretch>
                </xdr:blipFill>
                <xdr:spPr bwMode="auto">
                  <a:xfrm>
                    <a:off x="18046426" y="10847099"/>
                    <a:ext cx="2184662" cy="2515574"/>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463220" name="Picture 38"/>
                  <xdr:cNvPicPr>
                    <a:picLocks noChangeAspect="1"/>
                  </xdr:cNvPicPr>
                </xdr:nvPicPr>
                <xdr:blipFill>
                  <a:blip xmlns:r="http://schemas.openxmlformats.org/officeDocument/2006/relationships" r:embed="rId10"/>
                  <a:srcRect/>
                  <a:stretch>
                    <a:fillRect/>
                  </a:stretch>
                </xdr:blipFill>
                <xdr:spPr bwMode="auto">
                  <a:xfrm>
                    <a:off x="16875368" y="5930295"/>
                    <a:ext cx="2725907" cy="3001537"/>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3463221" name="Picture 39"/>
                  <xdr:cNvPicPr>
                    <a:picLocks noChangeAspect="1"/>
                  </xdr:cNvPicPr>
                </xdr:nvPicPr>
                <xdr:blipFill>
                  <a:blip xmlns:r="http://schemas.openxmlformats.org/officeDocument/2006/relationships" r:embed="rId11"/>
                  <a:srcRect/>
                  <a:stretch>
                    <a:fillRect/>
                  </a:stretch>
                </xdr:blipFill>
                <xdr:spPr bwMode="auto">
                  <a:xfrm>
                    <a:off x="15241792" y="9036648"/>
                    <a:ext cx="2696384" cy="2353586"/>
                  </a:xfrm>
                  <a:prstGeom prst="rect">
                    <a:avLst/>
                  </a:prstGeom>
                  <a:ln>
                    <a:noFill/>
                  </a:ln>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814464" name="Group 45"/>
                  <xdr:cNvGrpSpPr>
                    <a:grpSpLocks/>
                  </xdr:cNvGrpSpPr>
                </xdr:nvGrpSpPr>
                <xdr:grpSpPr bwMode="auto">
                  <a:xfrm>
                    <a:off x="17034748" y="8109831"/>
                    <a:ext cx="247611" cy="1085849"/>
                    <a:chOff x="2734312" y="13894200"/>
                    <a:chExt cx="247631" cy="1084730"/>
                  </a:xfrm>
                </xdr:grpSpPr>
                <xdr:cxnSp macro="">
                  <xdr:nvCxnSpPr>
                    <xdr:cNvPr id="47" name="Straight Arrow Connector 46"/>
                    <xdr:cNvCxnSpPr/>
                  </xdr:nvCxnSpPr>
                  <xdr:spPr>
                    <a:xfrm>
                      <a:off x="2643811" y="13896731"/>
                      <a:ext cx="9842" cy="1094670"/>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51" name="Straight Arrow Connector 50"/>
                    <xdr:cNvCxnSpPr/>
                  </xdr:nvCxnSpPr>
                  <xdr:spPr>
                    <a:xfrm flipH="1">
                      <a:off x="2643811" y="13896731"/>
                      <a:ext cx="246040" cy="9519"/>
                    </a:xfrm>
                    <a:prstGeom prst="straightConnector1">
                      <a:avLst/>
                    </a:prstGeom>
                    <a:ln w="19050">
                      <a:solidFill>
                        <a:srgbClr val="FF0000"/>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grpSp>
            <xdr:pic>
              <xdr:nvPicPr>
                <xdr:cNvPr id="22" name="Picture 21"/>
                <xdr:cNvPicPr>
                  <a:picLocks noChangeAspect="1"/>
                </xdr:cNvPicPr>
              </xdr:nvPicPr>
              <xdr:blipFill>
                <a:blip xmlns:r="http://schemas.openxmlformats.org/officeDocument/2006/relationships" r:embed="rId12"/>
                <a:stretch>
                  <a:fillRect/>
                </a:stretch>
              </xdr:blipFill>
              <xdr:spPr>
                <a:xfrm>
                  <a:off x="12978162" y="13691999"/>
                  <a:ext cx="8847346" cy="5536168"/>
                </a:xfrm>
                <a:prstGeom prst="rect">
                  <a:avLst/>
                </a:prstGeom>
                <a:ln>
                  <a:noFill/>
                </a:ln>
                <a:effectLst>
                  <a:outerShdw blurRad="50800" dist="38100" dir="2700000" algn="tl" rotWithShape="0">
                    <a:prstClr val="black">
                      <a:alpha val="40000"/>
                    </a:prstClr>
                  </a:outerShdw>
                </a:effectLst>
              </xdr:spPr>
            </xdr:pic>
            <xdr:cxnSp macro="">
              <xdr:nvCxnSpPr>
                <xdr:cNvPr id="24" name="Elbow Connector 23"/>
                <xdr:cNvCxnSpPr/>
              </xdr:nvCxnSpPr>
              <xdr:spPr>
                <a:xfrm rot="16200000" flipH="1">
                  <a:off x="16001306" y="12410949"/>
                  <a:ext cx="2810963" cy="1466301"/>
                </a:xfrm>
                <a:prstGeom prst="bentConnector3">
                  <a:avLst>
                    <a:gd name="adj1" fmla="val 0"/>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4814454" name="Group 9"/>
              <xdr:cNvGrpSpPr>
                <a:grpSpLocks/>
              </xdr:cNvGrpSpPr>
            </xdr:nvGrpSpPr>
            <xdr:grpSpPr bwMode="auto">
              <a:xfrm>
                <a:off x="12201525" y="2251075"/>
                <a:ext cx="3559175" cy="3943350"/>
                <a:chOff x="12059351" y="1943100"/>
                <a:chExt cx="7015691" cy="3946516"/>
              </a:xfrm>
            </xdr:grpSpPr>
            <xdr:sp macro="" textlink="">
              <xdr:nvSpPr>
                <xdr:cNvPr id="44" name="Rectangle 43"/>
                <xdr:cNvSpPr/>
              </xdr:nvSpPr>
              <xdr:spPr bwMode="auto">
                <a:xfrm>
                  <a:off x="12051822" y="1943100"/>
                  <a:ext cx="1737690" cy="200186"/>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xnSp macro="">
              <xdr:nvCxnSpPr>
                <xdr:cNvPr id="45" name="Straight Connector 44"/>
                <xdr:cNvCxnSpPr/>
              </xdr:nvCxnSpPr>
              <xdr:spPr bwMode="auto">
                <a:xfrm flipV="1">
                  <a:off x="13789512" y="2038426"/>
                  <a:ext cx="5291169" cy="0"/>
                </a:xfrm>
                <a:prstGeom prst="line">
                  <a:avLst/>
                </a:prstGeom>
                <a:ln w="19050">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xnSp macro="">
              <xdr:nvCxnSpPr>
                <xdr:cNvPr id="46" name="Straight Connector 45"/>
                <xdr:cNvCxnSpPr/>
              </xdr:nvCxnSpPr>
              <xdr:spPr bwMode="auto">
                <a:xfrm rot="10800000" flipV="1">
                  <a:off x="19080681" y="2038426"/>
                  <a:ext cx="0" cy="3851190"/>
                </a:xfrm>
                <a:prstGeom prst="line">
                  <a:avLst/>
                </a:prstGeom>
                <a:ln w="19050">
                  <a:solidFill>
                    <a:srgbClr val="FF0000"/>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grpSp>
        </xdr:grpSp>
        <xdr:pic>
          <xdr:nvPicPr>
            <xdr:cNvPr id="4814451" name="Picture 13"/>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4328081" y="11249439"/>
              <a:ext cx="2000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xnSp macro="">
        <xdr:nvCxnSpPr>
          <xdr:cNvPr id="21" name="Straight Arrow Connector 20"/>
          <xdr:cNvCxnSpPr/>
        </xdr:nvCxnSpPr>
        <xdr:spPr>
          <a:xfrm>
            <a:off x="13789312" y="11310938"/>
            <a:ext cx="1079282" cy="0"/>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9524</xdr:colOff>
      <xdr:row>0</xdr:row>
      <xdr:rowOff>0</xdr:rowOff>
    </xdr:from>
    <xdr:to>
      <xdr:col>29</xdr:col>
      <xdr:colOff>578774</xdr:colOff>
      <xdr:row>1</xdr:row>
      <xdr:rowOff>137750</xdr:rowOff>
    </xdr:to>
    <xdr:sp macro="" textlink="">
      <xdr:nvSpPr>
        <xdr:cNvPr id="3" name="com_bar"/>
        <xdr:cNvSpPr>
          <a:spLocks noChangeArrowheads="1"/>
        </xdr:cNvSpPr>
      </xdr:nvSpPr>
      <xdr:spPr bwMode="auto">
        <a:xfrm>
          <a:off x="9524" y="0"/>
          <a:ext cx="18000000" cy="360000"/>
        </a:xfrm>
        <a:prstGeom prst="rect">
          <a:avLst/>
        </a:prstGeom>
        <a:gradFill rotWithShape="1">
          <a:gsLst>
            <a:gs pos="0">
              <a:srgbClr val="477AB7"/>
            </a:gs>
            <a:gs pos="100000">
              <a:srgbClr val="B8CCE4">
                <a:alpha val="74001"/>
              </a:srgbClr>
            </a:gs>
          </a:gsLst>
          <a:lin ang="0" scaled="1"/>
        </a:gradFill>
        <a:ln w="9525">
          <a:solidFill>
            <a:srgbClr val="99CCFF"/>
          </a:solidFill>
          <a:miter lim="800000"/>
          <a:headEnd/>
          <a:tailEnd/>
        </a:ln>
      </xdr:spPr>
      <xdr:txBody>
        <a:bodyPr vertOverflow="clip" wrap="square" lIns="36576" tIns="36576" rIns="0" bIns="36576" anchor="ctr" upright="1"/>
        <a:lstStyle/>
        <a:p>
          <a:pPr algn="ctr" rtl="0">
            <a:defRPr sz="1000"/>
          </a:pPr>
          <a:r>
            <a:rPr lang="en-US" sz="1800" b="1" i="0" u="none" strike="noStrike" baseline="0">
              <a:solidFill>
                <a:srgbClr val="000000"/>
              </a:solidFill>
              <a:latin typeface="Calibri"/>
            </a:rPr>
            <a:t>VBA Programming </a:t>
          </a:r>
          <a:endParaRPr lang="en-US" sz="1800" b="1" i="0" u="none" strike="noStrike" baseline="0">
            <a:solidFill>
              <a:srgbClr val="000000"/>
            </a:solidFill>
            <a:latin typeface="+mn-lt"/>
            <a:cs typeface="Angsana New" pitchFamily="18" charset="-34"/>
          </a:endParaRPr>
        </a:p>
      </xdr:txBody>
    </xdr:sp>
    <xdr:clientData/>
  </xdr:twoCellAnchor>
  <xdr:twoCellAnchor>
    <xdr:from>
      <xdr:col>1</xdr:col>
      <xdr:colOff>9525</xdr:colOff>
      <xdr:row>7</xdr:row>
      <xdr:rowOff>57150</xdr:rowOff>
    </xdr:from>
    <xdr:to>
      <xdr:col>14</xdr:col>
      <xdr:colOff>571500</xdr:colOff>
      <xdr:row>34</xdr:row>
      <xdr:rowOff>171450</xdr:rowOff>
    </xdr:to>
    <xdr:grpSp>
      <xdr:nvGrpSpPr>
        <xdr:cNvPr id="4453038" name="Group 3"/>
        <xdr:cNvGrpSpPr>
          <a:grpSpLocks/>
        </xdr:cNvGrpSpPr>
      </xdr:nvGrpSpPr>
      <xdr:grpSpPr bwMode="auto">
        <a:xfrm>
          <a:off x="252942" y="1559983"/>
          <a:ext cx="8541808" cy="5257800"/>
          <a:chOff x="251882" y="1518709"/>
          <a:chExt cx="8538727" cy="5265208"/>
        </a:xfrm>
      </xdr:grpSpPr>
      <xdr:pic>
        <xdr:nvPicPr>
          <xdr:cNvPr id="2" name="Picture 1"/>
          <xdr:cNvPicPr>
            <a:picLocks noChangeAspect="1"/>
          </xdr:cNvPicPr>
        </xdr:nvPicPr>
        <xdr:blipFill>
          <a:blip xmlns:r="http://schemas.openxmlformats.org/officeDocument/2006/relationships" r:embed="rId1"/>
          <a:stretch>
            <a:fillRect/>
          </a:stretch>
        </xdr:blipFill>
        <xdr:spPr>
          <a:xfrm>
            <a:off x="251882" y="1518709"/>
            <a:ext cx="8538727" cy="5265208"/>
          </a:xfrm>
          <a:prstGeom prst="rect">
            <a:avLst/>
          </a:prstGeom>
          <a:ln>
            <a:noFill/>
          </a:ln>
          <a:effectLst>
            <a:outerShdw blurRad="50800" dist="38100" dir="2700000" algn="tl" rotWithShape="0">
              <a:prstClr val="black">
                <a:alpha val="40000"/>
              </a:prstClr>
            </a:outerShdw>
          </a:effectLst>
        </xdr:spPr>
      </xdr:pic>
      <xdr:sp macro="" textlink="">
        <xdr:nvSpPr>
          <xdr:cNvPr id="9" name="Rectangle 8"/>
          <xdr:cNvSpPr/>
        </xdr:nvSpPr>
        <xdr:spPr bwMode="auto">
          <a:xfrm>
            <a:off x="328548" y="1528247"/>
            <a:ext cx="488749" cy="190768"/>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grpSp>
    <xdr:clientData/>
  </xdr:twoCellAnchor>
  <xdr:twoCellAnchor>
    <xdr:from>
      <xdr:col>4</xdr:col>
      <xdr:colOff>171450</xdr:colOff>
      <xdr:row>37</xdr:row>
      <xdr:rowOff>9525</xdr:rowOff>
    </xdr:from>
    <xdr:to>
      <xdr:col>18</xdr:col>
      <xdr:colOff>85725</xdr:colOff>
      <xdr:row>62</xdr:row>
      <xdr:rowOff>76200</xdr:rowOff>
    </xdr:to>
    <xdr:grpSp>
      <xdr:nvGrpSpPr>
        <xdr:cNvPr id="4453039" name="Group 5"/>
        <xdr:cNvGrpSpPr>
          <a:grpSpLocks/>
        </xdr:cNvGrpSpPr>
      </xdr:nvGrpSpPr>
      <xdr:grpSpPr bwMode="auto">
        <a:xfrm>
          <a:off x="2256367" y="7227358"/>
          <a:ext cx="8507941" cy="4829175"/>
          <a:chOff x="9853083" y="5545666"/>
          <a:chExt cx="8914286" cy="5095238"/>
        </a:xfrm>
      </xdr:grpSpPr>
      <xdr:sp macro="" textlink="">
        <xdr:nvSpPr>
          <xdr:cNvPr id="8" name="Rectangle 7"/>
          <xdr:cNvSpPr/>
        </xdr:nvSpPr>
        <xdr:spPr>
          <a:xfrm>
            <a:off x="11672120" y="5977807"/>
            <a:ext cx="2793880" cy="512539"/>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pic>
        <xdr:nvPicPr>
          <xdr:cNvPr id="5" name="Picture 4"/>
          <xdr:cNvPicPr>
            <a:picLocks noChangeAspect="1"/>
          </xdr:cNvPicPr>
        </xdr:nvPicPr>
        <xdr:blipFill>
          <a:blip xmlns:r="http://schemas.openxmlformats.org/officeDocument/2006/relationships" r:embed="rId2"/>
          <a:stretch>
            <a:fillRect/>
          </a:stretch>
        </xdr:blipFill>
        <xdr:spPr>
          <a:xfrm>
            <a:off x="9853083" y="5545666"/>
            <a:ext cx="8914286" cy="5095238"/>
          </a:xfrm>
          <a:prstGeom prst="rect">
            <a:avLst/>
          </a:prstGeom>
          <a:effectLst>
            <a:outerShdw blurRad="50800" dist="38100" dir="2700000" algn="tl" rotWithShape="0">
              <a:prstClr val="black">
                <a:alpha val="40000"/>
              </a:prstClr>
            </a:outerShdw>
          </a:effectLst>
        </xdr:spPr>
      </xdr:pic>
    </xdr:grpSp>
    <xdr:clientData/>
  </xdr:twoCellAnchor>
  <xdr:twoCellAnchor>
    <xdr:from>
      <xdr:col>7</xdr:col>
      <xdr:colOff>211667</xdr:colOff>
      <xdr:row>39</xdr:row>
      <xdr:rowOff>179916</xdr:rowOff>
    </xdr:from>
    <xdr:to>
      <xdr:col>11</xdr:col>
      <xdr:colOff>232834</xdr:colOff>
      <xdr:row>41</xdr:row>
      <xdr:rowOff>169333</xdr:rowOff>
    </xdr:to>
    <xdr:sp macro="" textlink="">
      <xdr:nvSpPr>
        <xdr:cNvPr id="10" name="Rectangle 9"/>
        <xdr:cNvSpPr/>
      </xdr:nvSpPr>
      <xdr:spPr bwMode="auto">
        <a:xfrm>
          <a:off x="4138084" y="7778749"/>
          <a:ext cx="2476500" cy="370417"/>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n-GB"/>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blp\data\blp\data\204797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blp\data\Users\tszigeti\AppData\Local\Temp\Bloomberg\data\XCLR.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sheetName val="INTERVAL Calculations"/>
      <sheetName val="Sheet1"/>
    </sheetNames>
    <sheetDataSet>
      <sheetData sheetId="0">
        <row r="1">
          <cell r="A1" t="str">
            <v>100D</v>
          </cell>
          <cell r="B1" t="str">
            <v>Ask</v>
          </cell>
        </row>
        <row r="2">
          <cell r="A2" t="str">
            <v>20W</v>
          </cell>
          <cell r="B2" t="str">
            <v>Bid</v>
          </cell>
        </row>
        <row r="3">
          <cell r="A3" t="str">
            <v>10M</v>
          </cell>
          <cell r="B3" t="str">
            <v>Close</v>
          </cell>
        </row>
        <row r="4">
          <cell r="A4" t="str">
            <v>8Q</v>
          </cell>
          <cell r="B4" t="str">
            <v>High</v>
          </cell>
        </row>
        <row r="5">
          <cell r="A5" t="str">
            <v>6S</v>
          </cell>
          <cell r="B5" t="str">
            <v>Low</v>
          </cell>
        </row>
        <row r="6">
          <cell r="A6" t="str">
            <v>3Y</v>
          </cell>
          <cell r="B6" t="str">
            <v>Open</v>
          </cell>
        </row>
        <row r="7">
          <cell r="A7" t="str">
            <v>6m</v>
          </cell>
          <cell r="B7" t="str">
            <v>Volume</v>
          </cell>
        </row>
        <row r="8">
          <cell r="B8" t="str">
            <v>VWAP</v>
          </cell>
        </row>
      </sheetData>
      <sheetData sheetId="1"/>
      <sheetData sheetId="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ddPeriods"/>
      <sheetName val="BCountPeriods"/>
      <sheetName val="BInterpol"/>
      <sheetName val="Application - Curve Building"/>
      <sheetName val="Sheet2"/>
      <sheetName val="Sheet3"/>
    </sheetNames>
    <sheetDataSet>
      <sheetData sheetId="0" refreshError="1"/>
      <sheetData sheetId="1" refreshError="1"/>
      <sheetData sheetId="2" refreshError="1"/>
      <sheetData sheetId="3">
        <row r="4">
          <cell r="H4">
            <v>40777</v>
          </cell>
        </row>
        <row r="6">
          <cell r="A6">
            <v>2</v>
          </cell>
          <cell r="H6" t="str">
            <v>ED</v>
          </cell>
        </row>
      </sheetData>
      <sheetData sheetId="4" refreshError="1"/>
      <sheetData sheetId="5"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noFill/>
        <a:ln w="6350">
          <a:solidFill>
            <a:schemeClr val="tx1"/>
          </a:solidFill>
        </a:ln>
      </a:spPr>
      <a:bodyPr vertOverflow="clip" horzOverflow="clip" rtlCol="0" anchor="t"/>
      <a:lstStyle>
        <a:defPPr algn="l">
          <a:defRPr sz="1100"/>
        </a:defPPr>
      </a:lstStyle>
      <a:style>
        <a:lnRef idx="2">
          <a:schemeClr val="accent1">
            <a:shade val="50000"/>
          </a:schemeClr>
        </a:lnRef>
        <a:fillRef idx="1">
          <a:schemeClr val="accent1"/>
        </a:fillRef>
        <a:effectRef idx="0">
          <a:schemeClr val="accent1"/>
        </a:effectRef>
        <a:fontRef idx="minor">
          <a:schemeClr val="lt1"/>
        </a:fontRef>
      </a:style>
    </a:spDef>
    <a:lnDef>
      <a:spPr>
        <a:ln w="6350">
          <a:solidFill>
            <a:schemeClr val="tx1"/>
          </a:solidFill>
          <a:tailEnd type="none"/>
        </a:ln>
      </a:spPr>
      <a:bodyPr/>
      <a:lstStyle/>
      <a:style>
        <a:lnRef idx="1">
          <a:schemeClr val="accent1"/>
        </a:lnRef>
        <a:fillRef idx="0">
          <a:schemeClr val="accent1"/>
        </a:fillRef>
        <a:effectRef idx="0">
          <a:schemeClr val="accent1"/>
        </a:effectRef>
        <a:fontRef idx="minor">
          <a:schemeClr val="tx1"/>
        </a:fontRef>
      </a:style>
    </a:lnDef>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3" Type="http://schemas.openxmlformats.org/officeDocument/2006/relationships/customProperty" Target="../customProperty3.bin"/><Relationship Id="rId2" Type="http://schemas.openxmlformats.org/officeDocument/2006/relationships/customProperty" Target="../customProperty2.bin"/><Relationship Id="rId1" Type="http://schemas.openxmlformats.org/officeDocument/2006/relationships/customProperty" Target="../customProperty1.bin"/><Relationship Id="rId4" Type="http://schemas.openxmlformats.org/officeDocument/2006/relationships/customProperty" Target="../customProperty4.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bbg://SCREENS/BU" TargetMode="External"/><Relationship Id="rId1" Type="http://schemas.openxmlformats.org/officeDocument/2006/relationships/hyperlink" Target="bbg://SCREENS/HELP%20BQLX" TargetMode="External"/><Relationship Id="rId4"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dimension ref="C3"/>
  <sheetViews>
    <sheetView zoomScaleNormal="100" workbookViewId="0"/>
  </sheetViews>
  <sheetFormatPr baseColWidth="10" defaultColWidth="9.140625" defaultRowHeight="15"/>
  <sheetData>
    <row r="3" spans="3:3">
      <c r="C3" t="e">
        <f>RTD("bloomberg.ccyreader", "", "#track", "DBG", "XAPI","2.1.0.0", "OpenFile")</f>
        <v>#N/A</v>
      </c>
    </row>
  </sheetData>
  <phoneticPr fontId="160"/>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0"/>
  </sheetPr>
  <dimension ref="A1:U101"/>
  <sheetViews>
    <sheetView zoomScale="90" zoomScaleNormal="90" workbookViewId="0">
      <selection activeCell="T19" sqref="T19"/>
    </sheetView>
  </sheetViews>
  <sheetFormatPr baseColWidth="10" defaultColWidth="9" defaultRowHeight="15" customHeight="1"/>
  <cols>
    <col min="1" max="1" width="3.7109375" style="1119" customWidth="1"/>
    <col min="2" max="4" width="9" style="1119" customWidth="1"/>
    <col min="5" max="5" width="7.140625" style="1122" customWidth="1"/>
    <col min="6" max="7" width="9" style="1122" customWidth="1"/>
    <col min="8" max="8" width="9.42578125" style="1122" customWidth="1"/>
    <col min="9" max="9" width="10.140625" style="1122" customWidth="1"/>
    <col min="10" max="10" width="6.5703125" style="1122" customWidth="1"/>
    <col min="11" max="17" width="9" style="1119" customWidth="1"/>
    <col min="18" max="18" width="10.28515625" style="1119" customWidth="1"/>
    <col min="19" max="16384" width="9" style="1119"/>
  </cols>
  <sheetData>
    <row r="1" spans="1:21" ht="17.25" customHeight="1">
      <c r="A1" s="1118"/>
      <c r="E1" s="1119"/>
      <c r="F1" s="1119"/>
      <c r="G1" s="1119"/>
      <c r="H1" s="1119"/>
      <c r="I1" s="1119"/>
      <c r="J1" s="1119"/>
    </row>
    <row r="2" spans="1:21" ht="17.25" customHeight="1">
      <c r="A2" s="1118"/>
      <c r="E2" s="1119"/>
      <c r="F2" s="1119"/>
      <c r="G2" s="1119"/>
      <c r="H2" s="1119"/>
      <c r="I2" s="1119"/>
      <c r="J2" s="1119"/>
    </row>
    <row r="3" spans="1:21" ht="17.25" customHeight="1">
      <c r="A3" s="1118"/>
      <c r="E3" s="1119"/>
      <c r="F3" s="1119"/>
      <c r="G3" s="1119"/>
      <c r="H3" s="1119"/>
      <c r="I3" s="1119"/>
      <c r="J3" s="1119"/>
    </row>
    <row r="4" spans="1:21" ht="31.5" customHeight="1">
      <c r="A4" s="1118"/>
      <c r="E4" s="1119"/>
      <c r="F4" s="1119"/>
      <c r="G4" s="1119"/>
      <c r="H4" s="1119"/>
      <c r="I4" s="1119"/>
      <c r="J4" s="1119"/>
    </row>
    <row r="5" spans="1:21" ht="31.5" customHeight="1">
      <c r="A5" s="1118"/>
      <c r="E5" s="1119"/>
      <c r="F5" s="1119"/>
      <c r="G5" s="1119"/>
      <c r="H5" s="1119"/>
      <c r="I5" s="1119"/>
      <c r="J5" s="1119"/>
    </row>
    <row r="6" spans="1:21" ht="31.5" customHeight="1">
      <c r="A6" s="1118"/>
      <c r="E6" s="1119"/>
      <c r="F6" s="1119"/>
      <c r="G6" s="1119"/>
      <c r="H6" s="1119"/>
      <c r="I6" s="1119"/>
      <c r="J6" s="1119"/>
    </row>
    <row r="7" spans="1:21" ht="23.1" customHeight="1">
      <c r="B7" s="1129" t="s">
        <v>1956</v>
      </c>
      <c r="E7" s="1119"/>
      <c r="F7" s="1119"/>
      <c r="G7" s="1119"/>
      <c r="H7" s="1119"/>
      <c r="I7" s="1119"/>
      <c r="J7" s="1119"/>
    </row>
    <row r="8" spans="1:21" ht="23.1" customHeight="1">
      <c r="B8" s="1118"/>
      <c r="C8" s="1118"/>
      <c r="D8" s="1118"/>
      <c r="E8" s="1118"/>
      <c r="F8" s="2152" t="s">
        <v>1938</v>
      </c>
      <c r="G8" s="2153"/>
      <c r="H8" s="2154"/>
      <c r="I8" s="1120"/>
      <c r="J8" s="1120"/>
      <c r="K8" s="2154"/>
      <c r="L8" s="2154"/>
      <c r="M8" s="2154"/>
      <c r="N8" s="2154"/>
      <c r="O8" s="2154"/>
      <c r="P8" s="2154"/>
      <c r="Q8" s="2154"/>
      <c r="R8" s="2154"/>
      <c r="S8" s="2154"/>
      <c r="T8" s="2154"/>
      <c r="U8" s="2154"/>
    </row>
    <row r="9" spans="1:21" ht="23.1" customHeight="1">
      <c r="A9" s="1118"/>
      <c r="B9" s="1121"/>
      <c r="C9" s="1118"/>
      <c r="D9" s="1118"/>
      <c r="F9" s="2152" t="s">
        <v>1939</v>
      </c>
      <c r="G9" s="1123"/>
      <c r="K9" s="2154"/>
      <c r="L9" s="2154"/>
      <c r="M9" s="2154"/>
      <c r="N9" s="2154"/>
      <c r="O9" s="2154"/>
      <c r="P9" s="2154"/>
      <c r="Q9" s="2154"/>
      <c r="R9" s="2154"/>
      <c r="S9" s="2154"/>
      <c r="T9" s="2154"/>
      <c r="U9" s="2154"/>
    </row>
    <row r="10" spans="1:21" s="1127" customFormat="1" ht="23.1" customHeight="1">
      <c r="A10" s="1118"/>
      <c r="B10" s="1124"/>
      <c r="C10" s="1125"/>
      <c r="D10" s="1125"/>
      <c r="E10" s="1126"/>
      <c r="F10" s="2152" t="s">
        <v>1940</v>
      </c>
      <c r="G10" s="1123"/>
      <c r="H10" s="1126"/>
      <c r="I10" s="1126"/>
      <c r="J10" s="1126"/>
      <c r="K10" s="2155"/>
      <c r="L10" s="2155"/>
      <c r="M10" s="2155"/>
      <c r="N10" s="2155"/>
      <c r="O10" s="2155"/>
      <c r="P10" s="2155"/>
      <c r="Q10" s="2155"/>
      <c r="R10" s="2155"/>
      <c r="S10" s="2155"/>
      <c r="T10" s="2155"/>
      <c r="U10" s="2155"/>
    </row>
    <row r="11" spans="1:21" ht="23.1" customHeight="1">
      <c r="A11" s="1125"/>
      <c r="B11" s="1128"/>
      <c r="C11" s="1118"/>
      <c r="D11" s="1118"/>
      <c r="F11" s="2152" t="s">
        <v>1941</v>
      </c>
      <c r="G11" s="1123"/>
      <c r="K11" s="2154"/>
      <c r="L11" s="2154"/>
      <c r="M11" s="2154"/>
      <c r="N11" s="2154"/>
      <c r="O11" s="2154"/>
      <c r="P11" s="2154"/>
      <c r="Q11" s="2154"/>
      <c r="R11" s="2154"/>
      <c r="S11" s="2154"/>
      <c r="T11" s="2154"/>
      <c r="U11" s="2154"/>
    </row>
    <row r="12" spans="1:21" ht="23.1" customHeight="1">
      <c r="A12" s="1118"/>
      <c r="B12" s="1121"/>
      <c r="C12" s="1118"/>
      <c r="D12" s="1118"/>
      <c r="F12" s="2152" t="s">
        <v>1942</v>
      </c>
      <c r="G12" s="1123"/>
      <c r="K12" s="2154"/>
      <c r="L12" s="2154"/>
      <c r="M12" s="2154"/>
      <c r="N12" s="2154"/>
      <c r="O12" s="2154"/>
      <c r="P12" s="2154"/>
      <c r="Q12" s="2154"/>
      <c r="R12" s="2154"/>
      <c r="S12" s="2154"/>
      <c r="T12" s="2154"/>
      <c r="U12" s="2154"/>
    </row>
    <row r="13" spans="1:21" s="1127" customFormat="1" ht="23.1" customHeight="1">
      <c r="A13" s="1118"/>
      <c r="B13" s="1124"/>
      <c r="C13" s="1125"/>
      <c r="D13" s="1125"/>
      <c r="E13" s="1126"/>
      <c r="F13" s="2152" t="s">
        <v>1943</v>
      </c>
      <c r="G13" s="1123"/>
      <c r="H13" s="1126"/>
      <c r="I13" s="1126"/>
      <c r="J13" s="1126"/>
      <c r="K13" s="2155"/>
      <c r="L13" s="2155"/>
      <c r="M13" s="2155"/>
      <c r="N13" s="2155"/>
      <c r="O13" s="2155"/>
      <c r="P13" s="2155"/>
      <c r="Q13" s="2155"/>
      <c r="R13" s="2155"/>
      <c r="S13" s="2155"/>
      <c r="T13" s="2155"/>
      <c r="U13" s="2155"/>
    </row>
    <row r="14" spans="1:21" ht="23.1" customHeight="1">
      <c r="A14" s="1125"/>
      <c r="B14" s="1128"/>
      <c r="C14" s="1118"/>
      <c r="D14" s="1118"/>
      <c r="F14" s="2152" t="s">
        <v>1954</v>
      </c>
      <c r="G14" s="1123"/>
      <c r="K14" s="2154"/>
      <c r="L14" s="2154"/>
      <c r="M14" s="2154"/>
      <c r="N14" s="2154"/>
      <c r="O14" s="2154"/>
      <c r="P14" s="2154"/>
      <c r="Q14" s="2154"/>
      <c r="R14" s="2154"/>
      <c r="S14" s="2154"/>
      <c r="T14" s="2154"/>
      <c r="U14" s="2154"/>
    </row>
    <row r="15" spans="1:21" ht="23.1" customHeight="1">
      <c r="A15" s="1118"/>
      <c r="B15" s="1121"/>
      <c r="C15" s="1118"/>
      <c r="D15" s="1118"/>
      <c r="F15" s="2152" t="s">
        <v>1955</v>
      </c>
      <c r="G15" s="1123"/>
      <c r="K15" s="2154"/>
      <c r="L15" s="2154"/>
      <c r="M15" s="2154"/>
      <c r="N15" s="2154"/>
      <c r="O15" s="2154"/>
      <c r="P15" s="2154"/>
      <c r="Q15" s="2154"/>
      <c r="R15" s="2154"/>
      <c r="S15" s="2154"/>
      <c r="T15" s="2154"/>
      <c r="U15" s="2154"/>
    </row>
    <row r="16" spans="1:21" ht="15.75" customHeight="1">
      <c r="A16" s="1118"/>
      <c r="B16" s="1121"/>
      <c r="C16" s="1118"/>
      <c r="D16" s="1118"/>
      <c r="F16" s="2152"/>
      <c r="G16" s="1123"/>
      <c r="K16" s="2154"/>
      <c r="L16" s="2154"/>
      <c r="M16" s="2154"/>
      <c r="N16" s="2154"/>
      <c r="O16" s="2154"/>
      <c r="P16" s="2154"/>
      <c r="Q16" s="2154"/>
      <c r="R16" s="2154"/>
      <c r="S16" s="2154"/>
      <c r="T16" s="2154"/>
      <c r="U16" s="2154"/>
    </row>
    <row r="17" spans="1:21" ht="23.1" customHeight="1">
      <c r="A17" s="1118"/>
      <c r="B17" s="1527" t="s">
        <v>1957</v>
      </c>
      <c r="C17" s="1118"/>
      <c r="D17" s="1118"/>
      <c r="F17" s="2152"/>
      <c r="G17" s="1123"/>
      <c r="K17" s="2154"/>
      <c r="L17" s="2154"/>
      <c r="M17" s="2154"/>
      <c r="N17" s="2154"/>
      <c r="O17" s="2154"/>
      <c r="P17" s="2154"/>
    </row>
    <row r="18" spans="1:21" ht="23.1" customHeight="1">
      <c r="A18" s="1118"/>
      <c r="B18" s="1527"/>
      <c r="C18" s="1118"/>
      <c r="D18" s="1118"/>
      <c r="F18" s="2331" t="s">
        <v>3393</v>
      </c>
      <c r="G18" s="1123"/>
      <c r="K18" s="2154"/>
      <c r="L18" s="2154"/>
      <c r="M18" s="2154"/>
      <c r="N18" s="2154"/>
      <c r="O18" s="2154"/>
      <c r="P18" s="2154"/>
    </row>
    <row r="19" spans="1:21" s="1127" customFormat="1" ht="23.1" customHeight="1">
      <c r="A19" s="1118"/>
      <c r="B19" s="1124"/>
      <c r="C19" s="1130"/>
      <c r="F19" s="1141" t="s">
        <v>1739</v>
      </c>
      <c r="G19" s="1123"/>
      <c r="H19" s="1126"/>
      <c r="I19" s="1126"/>
      <c r="J19" s="1126"/>
      <c r="K19" s="2155"/>
      <c r="L19" s="2155"/>
      <c r="O19" s="2155"/>
      <c r="Q19" s="2155"/>
      <c r="R19" s="2155"/>
      <c r="S19" s="2155"/>
      <c r="T19" s="2312"/>
      <c r="U19" s="2313"/>
    </row>
    <row r="20" spans="1:21" ht="23.1" customHeight="1">
      <c r="A20" s="1125"/>
      <c r="B20" s="1128"/>
      <c r="C20" s="1118"/>
      <c r="D20" s="1118"/>
      <c r="F20" s="1130" t="s">
        <v>1724</v>
      </c>
      <c r="K20" s="2154"/>
      <c r="L20" s="2154"/>
      <c r="M20" s="2154"/>
      <c r="N20" s="2154"/>
      <c r="O20" s="2154"/>
      <c r="Q20" s="2154"/>
      <c r="R20" s="2154"/>
      <c r="S20" s="2154"/>
      <c r="T20" s="2154"/>
      <c r="U20" s="2154"/>
    </row>
    <row r="21" spans="1:21" ht="23.1" customHeight="1">
      <c r="A21" s="1118"/>
      <c r="B21" s="1121"/>
      <c r="C21" s="1118"/>
      <c r="D21" s="1118"/>
      <c r="F21" s="1130" t="s">
        <v>1725</v>
      </c>
      <c r="K21" s="2154"/>
      <c r="L21" s="2154"/>
      <c r="N21" s="2156"/>
      <c r="O21" s="2154"/>
      <c r="Q21" s="2154"/>
      <c r="R21" s="2154"/>
      <c r="S21" s="2154"/>
      <c r="T21" s="2154"/>
      <c r="U21" s="2154"/>
    </row>
    <row r="22" spans="1:21" s="1127" customFormat="1" ht="23.1" customHeight="1">
      <c r="A22" s="1118"/>
      <c r="B22" s="1131"/>
      <c r="C22" s="1125"/>
      <c r="D22" s="1125"/>
      <c r="E22" s="1126"/>
      <c r="F22" s="1130" t="s">
        <v>1726</v>
      </c>
      <c r="H22" s="1126"/>
      <c r="I22" s="1126"/>
      <c r="J22" s="1126"/>
      <c r="K22" s="2155"/>
      <c r="L22" s="2155"/>
      <c r="N22" s="2156"/>
      <c r="O22" s="2155"/>
      <c r="Q22" s="2155"/>
      <c r="R22" s="2155"/>
      <c r="S22" s="2155"/>
      <c r="T22" s="2155"/>
      <c r="U22" s="2155"/>
    </row>
    <row r="23" spans="1:21" ht="23.1" customHeight="1">
      <c r="A23" s="1125"/>
      <c r="B23" s="1132"/>
      <c r="C23" s="1118"/>
      <c r="D23" s="1118"/>
      <c r="F23" s="1130" t="s">
        <v>2168</v>
      </c>
      <c r="K23" s="2154"/>
      <c r="L23" s="2154"/>
      <c r="N23" s="2156"/>
      <c r="O23" s="2154"/>
      <c r="Q23" s="2154"/>
      <c r="R23" s="2154"/>
      <c r="S23" s="2154"/>
      <c r="T23" s="2154"/>
      <c r="U23" s="2154"/>
    </row>
    <row r="24" spans="1:21" ht="23.1" customHeight="1">
      <c r="A24" s="1118"/>
      <c r="B24" s="1132"/>
      <c r="C24" s="1118"/>
      <c r="D24" s="1118"/>
      <c r="F24" s="1130" t="s">
        <v>1727</v>
      </c>
      <c r="K24" s="2154"/>
      <c r="L24" s="2154"/>
      <c r="N24" s="2156"/>
      <c r="O24" s="2154"/>
      <c r="Q24" s="2154"/>
      <c r="R24" s="2154"/>
      <c r="S24" s="2154"/>
      <c r="T24" s="2154"/>
      <c r="U24" s="2154"/>
    </row>
    <row r="25" spans="1:21" ht="23.1" customHeight="1">
      <c r="A25" s="1118"/>
      <c r="B25" s="1121"/>
      <c r="C25" s="1118"/>
      <c r="D25" s="1118"/>
      <c r="F25" s="1130" t="s">
        <v>1728</v>
      </c>
      <c r="K25" s="2154"/>
      <c r="L25" s="2154"/>
      <c r="M25" s="2154"/>
      <c r="N25" s="2154"/>
      <c r="O25" s="2154"/>
      <c r="Q25" s="2154"/>
      <c r="R25" s="2154"/>
      <c r="S25" s="2154"/>
      <c r="T25" s="2154"/>
      <c r="U25" s="2154"/>
    </row>
    <row r="26" spans="1:21" ht="23.1" customHeight="1">
      <c r="A26" s="1118"/>
      <c r="B26" s="1121"/>
      <c r="C26" s="1118"/>
      <c r="D26" s="1118"/>
      <c r="F26" s="1130" t="s">
        <v>1762</v>
      </c>
      <c r="K26" s="2154"/>
      <c r="L26" s="2154"/>
      <c r="M26" s="2154"/>
      <c r="N26" s="2154"/>
      <c r="O26" s="2154"/>
      <c r="Q26" s="2154"/>
      <c r="S26" s="2154"/>
      <c r="T26" s="2154"/>
      <c r="U26" s="2154"/>
    </row>
    <row r="27" spans="1:21" ht="23.1" customHeight="1">
      <c r="A27" s="1118"/>
      <c r="B27" s="1121"/>
      <c r="C27" s="1118"/>
      <c r="D27" s="1118"/>
      <c r="F27" s="1130" t="s">
        <v>1738</v>
      </c>
      <c r="G27" s="1123"/>
      <c r="K27" s="2154"/>
      <c r="L27" s="2154"/>
      <c r="M27" s="2154"/>
      <c r="N27" s="2154"/>
      <c r="O27" s="2154"/>
      <c r="Q27" s="2154"/>
      <c r="R27" s="2154"/>
      <c r="S27" s="2154"/>
      <c r="T27" s="2154"/>
      <c r="U27" s="2154"/>
    </row>
    <row r="28" spans="1:21" s="1127" customFormat="1" ht="23.1" customHeight="1">
      <c r="A28" s="1118"/>
      <c r="B28" s="1124"/>
      <c r="C28" s="1125"/>
      <c r="D28" s="1125"/>
      <c r="E28" s="1126"/>
      <c r="F28" s="1130" t="s">
        <v>1770</v>
      </c>
      <c r="G28" s="1123"/>
      <c r="H28" s="1126"/>
      <c r="I28" s="1126"/>
      <c r="J28" s="1126"/>
      <c r="K28" s="2155"/>
      <c r="L28" s="2155"/>
      <c r="M28" s="2155"/>
      <c r="N28" s="2155"/>
      <c r="O28" s="2155"/>
      <c r="Q28" s="2155"/>
      <c r="R28" s="2155"/>
      <c r="S28" s="2155"/>
      <c r="T28" s="2155"/>
      <c r="U28" s="2155"/>
    </row>
    <row r="29" spans="1:21" s="1127" customFormat="1" ht="23.1" customHeight="1">
      <c r="A29" s="1118"/>
      <c r="B29" s="1124"/>
      <c r="C29" s="1125"/>
      <c r="D29" s="1125"/>
      <c r="E29" s="1126"/>
      <c r="F29" s="1130" t="s">
        <v>1934</v>
      </c>
      <c r="G29" s="1123"/>
      <c r="H29" s="1126"/>
      <c r="I29" s="1126"/>
      <c r="J29" s="1126"/>
      <c r="K29" s="2155"/>
      <c r="L29" s="2155"/>
      <c r="M29" s="2155"/>
      <c r="N29" s="2155"/>
      <c r="O29" s="2155"/>
      <c r="Q29" s="2155"/>
      <c r="R29" s="2155"/>
      <c r="S29" s="2155"/>
      <c r="T29" s="2155"/>
      <c r="U29" s="2155"/>
    </row>
    <row r="30" spans="1:21" s="1127" customFormat="1" ht="23.1" customHeight="1">
      <c r="A30" s="1118"/>
      <c r="B30" s="1124"/>
      <c r="C30" s="1125"/>
      <c r="D30" s="1125"/>
      <c r="E30" s="1126"/>
      <c r="F30" s="1130" t="s">
        <v>1935</v>
      </c>
      <c r="G30" s="1123"/>
      <c r="H30" s="1126"/>
      <c r="I30" s="1126"/>
      <c r="J30" s="1126"/>
      <c r="K30" s="2155"/>
      <c r="L30" s="2155"/>
      <c r="M30" s="2155"/>
      <c r="N30" s="2155"/>
      <c r="O30" s="2155"/>
      <c r="Q30" s="2155"/>
      <c r="R30" s="2155"/>
      <c r="S30" s="2155"/>
      <c r="T30" s="2155"/>
      <c r="U30" s="2155"/>
    </row>
    <row r="31" spans="1:21" s="1127" customFormat="1" ht="23.1" customHeight="1">
      <c r="A31" s="1118"/>
      <c r="B31" s="1124"/>
      <c r="C31" s="1125"/>
      <c r="D31" s="1125"/>
      <c r="E31" s="1126"/>
      <c r="F31" s="1130" t="s">
        <v>2007</v>
      </c>
      <c r="G31" s="1123"/>
      <c r="H31" s="1126"/>
      <c r="I31" s="1126"/>
      <c r="J31" s="1126"/>
      <c r="K31" s="2155"/>
      <c r="L31" s="2155"/>
      <c r="M31" s="2155"/>
      <c r="N31" s="2155"/>
      <c r="O31" s="2155"/>
      <c r="Q31" s="2155"/>
      <c r="R31" s="2155"/>
      <c r="S31" s="2155"/>
      <c r="T31" s="2155"/>
      <c r="U31" s="2155"/>
    </row>
    <row r="32" spans="1:21" s="1127" customFormat="1" ht="15.75" customHeight="1">
      <c r="A32" s="1118"/>
      <c r="B32" s="1124"/>
      <c r="C32" s="1125"/>
      <c r="D32" s="1125"/>
      <c r="E32" s="1126"/>
      <c r="G32" s="1123"/>
      <c r="H32" s="1126"/>
      <c r="I32" s="1126"/>
      <c r="J32" s="1126"/>
      <c r="K32" s="2155"/>
      <c r="L32" s="2155"/>
      <c r="M32" s="2155"/>
      <c r="N32" s="2155"/>
      <c r="O32" s="2155"/>
      <c r="Q32" s="2155"/>
      <c r="R32" s="2155"/>
      <c r="S32" s="2155"/>
      <c r="T32" s="2155"/>
      <c r="U32" s="2155"/>
    </row>
    <row r="33" spans="1:21" ht="23.1" customHeight="1">
      <c r="A33" s="1125"/>
      <c r="B33" s="1527" t="s">
        <v>1958</v>
      </c>
      <c r="C33" s="1118"/>
      <c r="D33" s="1118"/>
      <c r="F33" s="1130"/>
      <c r="G33" s="1123"/>
      <c r="J33" s="1133"/>
      <c r="K33" s="1134"/>
      <c r="L33" s="2154"/>
      <c r="M33" s="2154"/>
      <c r="N33" s="2154"/>
      <c r="O33" s="2154"/>
      <c r="P33" s="2154"/>
      <c r="Q33" s="2154"/>
      <c r="R33" s="2154"/>
      <c r="S33" s="2154"/>
      <c r="T33" s="2154"/>
      <c r="U33" s="2154"/>
    </row>
    <row r="34" spans="1:21" ht="23.1" customHeight="1">
      <c r="A34" s="1118"/>
      <c r="B34" s="1121"/>
      <c r="C34" s="1118"/>
      <c r="D34" s="1118"/>
      <c r="F34" s="1130" t="s">
        <v>1740</v>
      </c>
      <c r="G34" s="1123"/>
      <c r="J34" s="1133"/>
      <c r="K34" s="1134"/>
      <c r="L34" s="2154"/>
      <c r="M34" s="2154"/>
      <c r="N34" s="2154"/>
      <c r="O34" s="2154"/>
      <c r="P34" s="2154"/>
      <c r="Q34" s="2154"/>
      <c r="R34" s="2154"/>
      <c r="S34" s="2154"/>
      <c r="T34" s="2154"/>
      <c r="U34" s="2154"/>
    </row>
    <row r="35" spans="1:21" s="1127" customFormat="1" ht="23.1" customHeight="1">
      <c r="A35" s="1118"/>
      <c r="B35" s="1124"/>
      <c r="C35" s="1126"/>
      <c r="D35" s="1126"/>
      <c r="E35" s="1126"/>
      <c r="F35" s="1130" t="s">
        <v>1723</v>
      </c>
      <c r="G35" s="1123"/>
      <c r="H35" s="1126"/>
      <c r="I35" s="1126"/>
      <c r="J35" s="1135"/>
      <c r="K35" s="1136"/>
      <c r="L35" s="2155"/>
      <c r="M35" s="2155"/>
      <c r="N35" s="2155"/>
      <c r="O35" s="2155"/>
      <c r="P35" s="2155"/>
      <c r="Q35" s="2155"/>
      <c r="R35" s="2155"/>
      <c r="S35" s="2155"/>
      <c r="T35" s="2155"/>
      <c r="U35" s="2155"/>
    </row>
    <row r="36" spans="1:21" ht="23.1" customHeight="1">
      <c r="B36" s="1137"/>
      <c r="C36" s="1137"/>
      <c r="D36" s="1139"/>
      <c r="E36" s="1137"/>
      <c r="F36" s="1138" t="s">
        <v>1730</v>
      </c>
      <c r="G36" s="1123"/>
      <c r="H36" s="1137"/>
      <c r="I36" s="1137"/>
    </row>
    <row r="37" spans="1:21" ht="23.1" customHeight="1">
      <c r="B37" s="1140"/>
      <c r="C37" s="1140"/>
      <c r="D37" s="1139"/>
      <c r="E37" s="1137"/>
      <c r="F37" s="1141" t="s">
        <v>1936</v>
      </c>
      <c r="G37" s="1123"/>
      <c r="H37" s="1137"/>
      <c r="I37" s="1137"/>
    </row>
    <row r="38" spans="1:21" ht="23.1" customHeight="1">
      <c r="B38" s="1140"/>
      <c r="C38" s="1140"/>
      <c r="D38" s="1139"/>
      <c r="E38" s="1137"/>
      <c r="F38" s="1141" t="s">
        <v>1937</v>
      </c>
      <c r="G38" s="1123"/>
      <c r="H38" s="1137"/>
      <c r="I38" s="1137"/>
      <c r="Q38" s="1177"/>
    </row>
    <row r="39" spans="1:21" ht="23.1" customHeight="1">
      <c r="B39" s="1140"/>
      <c r="C39" s="1140"/>
      <c r="D39" s="1139"/>
      <c r="E39" s="1137"/>
      <c r="F39" s="1138" t="s">
        <v>1729</v>
      </c>
      <c r="G39" s="1123"/>
      <c r="H39" s="1137"/>
      <c r="I39" s="1137"/>
      <c r="Q39" s="1177"/>
    </row>
    <row r="40" spans="1:21" ht="23.1" customHeight="1">
      <c r="B40" s="1140"/>
      <c r="C40" s="1140"/>
      <c r="D40" s="1139"/>
      <c r="E40" s="1137"/>
      <c r="F40" s="1138" t="s">
        <v>1731</v>
      </c>
      <c r="G40" s="1123"/>
      <c r="H40" s="1137"/>
      <c r="I40" s="1137"/>
      <c r="J40" s="1137"/>
    </row>
    <row r="41" spans="1:21" ht="23.1" customHeight="1">
      <c r="B41" s="1140"/>
      <c r="C41" s="1140"/>
      <c r="E41" s="1137"/>
      <c r="F41" s="1130" t="s">
        <v>1732</v>
      </c>
      <c r="G41" s="1123"/>
      <c r="H41" s="1137"/>
      <c r="I41" s="1137"/>
    </row>
    <row r="42" spans="1:21" ht="23.1" customHeight="1">
      <c r="F42" s="1130" t="s">
        <v>1733</v>
      </c>
      <c r="G42" s="1123"/>
      <c r="H42" s="1137"/>
      <c r="I42" s="1137"/>
    </row>
    <row r="43" spans="1:21" ht="23.1" customHeight="1">
      <c r="F43" s="1130" t="s">
        <v>1734</v>
      </c>
      <c r="G43" s="1123"/>
      <c r="H43" s="1137"/>
      <c r="I43" s="1137"/>
      <c r="J43" s="1123"/>
    </row>
    <row r="44" spans="1:21" ht="23.1" customHeight="1">
      <c r="F44" s="1130" t="s">
        <v>1742</v>
      </c>
      <c r="G44" s="1123"/>
      <c r="H44" s="1137"/>
      <c r="I44" s="1137"/>
      <c r="J44" s="1137"/>
      <c r="T44" s="1130"/>
    </row>
    <row r="45" spans="1:21" ht="23.1" customHeight="1">
      <c r="F45" s="1130" t="s">
        <v>1741</v>
      </c>
      <c r="G45" s="1123"/>
      <c r="H45" s="1137"/>
      <c r="I45" s="1137"/>
    </row>
    <row r="46" spans="1:21" ht="23.1" customHeight="1">
      <c r="F46" s="2157" t="s">
        <v>2053</v>
      </c>
      <c r="G46" s="1123"/>
      <c r="H46" s="1137"/>
      <c r="I46" s="1137"/>
    </row>
    <row r="47" spans="1:21" ht="23.1" customHeight="1">
      <c r="F47" s="1130" t="s">
        <v>1820</v>
      </c>
      <c r="G47" s="1123"/>
      <c r="H47" s="1137"/>
      <c r="I47" s="1137"/>
    </row>
    <row r="48" spans="1:21" ht="23.1" customHeight="1">
      <c r="F48" s="1130" t="s">
        <v>1744</v>
      </c>
      <c r="G48" s="1123"/>
      <c r="H48" s="1137"/>
      <c r="I48" s="1137"/>
    </row>
    <row r="49" spans="2:10" ht="23.1" customHeight="1">
      <c r="F49" s="1526" t="s">
        <v>1829</v>
      </c>
      <c r="G49" s="1123"/>
    </row>
    <row r="50" spans="2:10" s="1118" customFormat="1" ht="21.95" customHeight="1">
      <c r="B50" s="2158"/>
      <c r="H50" s="2159"/>
    </row>
    <row r="51" spans="2:10" s="1118" customFormat="1" ht="23.1" customHeight="1">
      <c r="E51" s="1122"/>
      <c r="F51" s="1130"/>
      <c r="G51" s="1123"/>
      <c r="H51" s="1122"/>
      <c r="I51" s="1122"/>
      <c r="J51" s="1122"/>
    </row>
    <row r="52" spans="2:10" s="1118" customFormat="1" ht="23.1" customHeight="1">
      <c r="E52" s="1122"/>
      <c r="F52" s="1130"/>
      <c r="G52" s="1123"/>
      <c r="H52" s="1122"/>
      <c r="I52" s="1122"/>
      <c r="J52" s="1122"/>
    </row>
    <row r="53" spans="2:10" s="1118" customFormat="1" ht="23.1" customHeight="1">
      <c r="E53" s="1122"/>
      <c r="F53" s="1130"/>
      <c r="G53" s="1123"/>
      <c r="H53" s="1122"/>
      <c r="I53" s="1122"/>
      <c r="J53" s="1122"/>
    </row>
    <row r="54" spans="2:10" s="1118" customFormat="1" ht="23.1" customHeight="1">
      <c r="E54" s="1122"/>
      <c r="F54" s="1130"/>
      <c r="G54" s="1123"/>
      <c r="H54" s="1122"/>
      <c r="I54" s="1122"/>
      <c r="J54" s="1122"/>
    </row>
    <row r="55" spans="2:10" s="1118" customFormat="1" ht="23.1" customHeight="1">
      <c r="E55" s="1122"/>
      <c r="F55" s="1130"/>
      <c r="G55" s="1123"/>
      <c r="H55" s="1122"/>
      <c r="I55" s="1122"/>
      <c r="J55" s="1122"/>
    </row>
    <row r="56" spans="2:10" s="1118" customFormat="1" ht="23.1" customHeight="1">
      <c r="E56" s="1122"/>
      <c r="F56" s="1130"/>
      <c r="G56" s="1123"/>
      <c r="H56" s="1122"/>
      <c r="I56" s="1122"/>
      <c r="J56" s="1122"/>
    </row>
    <row r="57" spans="2:10" s="1118" customFormat="1" ht="23.1" customHeight="1">
      <c r="E57" s="1122"/>
      <c r="F57" s="1130"/>
      <c r="G57" s="1123"/>
      <c r="H57" s="1122"/>
      <c r="I57" s="1122"/>
      <c r="J57" s="1122"/>
    </row>
    <row r="58" spans="2:10" s="1118" customFormat="1" ht="23.1" customHeight="1">
      <c r="E58" s="1122"/>
      <c r="F58" s="1130"/>
      <c r="G58" s="1123"/>
      <c r="H58" s="1122"/>
      <c r="I58" s="1122"/>
      <c r="J58" s="1122"/>
    </row>
    <row r="59" spans="2:10" s="1118" customFormat="1" ht="23.1" customHeight="1">
      <c r="E59" s="1122"/>
      <c r="F59" s="1130"/>
      <c r="G59" s="1123"/>
      <c r="H59" s="1122"/>
      <c r="I59" s="1122"/>
      <c r="J59" s="1122"/>
    </row>
    <row r="60" spans="2:10" s="1118" customFormat="1" ht="23.1" customHeight="1">
      <c r="E60" s="1122"/>
      <c r="F60" s="1130"/>
      <c r="G60" s="1123"/>
      <c r="H60" s="1122"/>
      <c r="I60" s="1122"/>
      <c r="J60" s="1122"/>
    </row>
    <row r="61" spans="2:10" s="1118" customFormat="1" ht="23.1" customHeight="1">
      <c r="E61" s="1122"/>
      <c r="F61" s="1130"/>
      <c r="G61" s="1122"/>
      <c r="H61" s="1122"/>
      <c r="I61" s="1122"/>
      <c r="J61" s="1122"/>
    </row>
    <row r="62" spans="2:10" s="1118" customFormat="1" ht="23.1" customHeight="1">
      <c r="E62" s="1122"/>
      <c r="F62" s="1130"/>
      <c r="G62" s="1122"/>
      <c r="H62" s="1122"/>
      <c r="I62" s="1122"/>
      <c r="J62" s="1122"/>
    </row>
    <row r="63" spans="2:10" s="1118" customFormat="1" ht="23.1" customHeight="1">
      <c r="E63" s="1122"/>
      <c r="F63" s="1130"/>
      <c r="G63" s="1122"/>
      <c r="H63" s="1122"/>
      <c r="I63" s="1122"/>
      <c r="J63" s="1122"/>
    </row>
    <row r="64" spans="2:10" s="1118" customFormat="1" ht="23.1" customHeight="1">
      <c r="E64" s="1122"/>
      <c r="F64" s="1130"/>
      <c r="G64" s="1122"/>
      <c r="H64" s="1122"/>
      <c r="I64" s="1122"/>
      <c r="J64" s="1122"/>
    </row>
    <row r="65" spans="5:10" s="1118" customFormat="1" ht="23.1" customHeight="1">
      <c r="E65" s="1122"/>
      <c r="F65" s="1130"/>
      <c r="G65" s="1122"/>
      <c r="H65" s="1122"/>
      <c r="I65" s="1122"/>
      <c r="J65" s="1122"/>
    </row>
    <row r="66" spans="5:10" s="1118" customFormat="1" ht="23.1" customHeight="1">
      <c r="E66" s="1122"/>
      <c r="F66" s="1130"/>
      <c r="G66" s="1122"/>
      <c r="H66" s="1122"/>
      <c r="I66" s="1122"/>
      <c r="J66" s="1122"/>
    </row>
    <row r="67" spans="5:10" s="1118" customFormat="1" ht="23.1" customHeight="1">
      <c r="E67" s="1122"/>
      <c r="F67" s="1130"/>
      <c r="G67" s="1122"/>
      <c r="H67" s="1122"/>
      <c r="I67" s="1122"/>
      <c r="J67" s="1122"/>
    </row>
    <row r="68" spans="5:10" s="1118" customFormat="1" ht="23.1" customHeight="1">
      <c r="E68" s="1122"/>
      <c r="F68" s="1130"/>
      <c r="G68" s="1122"/>
      <c r="H68" s="1122"/>
      <c r="I68" s="1122"/>
      <c r="J68" s="1122"/>
    </row>
    <row r="69" spans="5:10" s="1118" customFormat="1" ht="23.1" customHeight="1">
      <c r="E69" s="1122"/>
      <c r="F69" s="1130"/>
      <c r="G69" s="1122"/>
      <c r="H69" s="1122"/>
      <c r="I69" s="1122"/>
      <c r="J69" s="1122"/>
    </row>
    <row r="70" spans="5:10" s="1118" customFormat="1" ht="23.1" customHeight="1">
      <c r="E70" s="1122"/>
      <c r="F70" s="1130"/>
      <c r="G70" s="1122"/>
      <c r="H70" s="1122"/>
      <c r="I70" s="1122"/>
      <c r="J70" s="1122"/>
    </row>
    <row r="71" spans="5:10" s="1118" customFormat="1" ht="23.1" customHeight="1">
      <c r="E71" s="1122"/>
      <c r="F71" s="1130"/>
      <c r="G71" s="1122"/>
      <c r="H71" s="1122"/>
      <c r="I71" s="1122"/>
      <c r="J71" s="1122"/>
    </row>
    <row r="72" spans="5:10" s="1118" customFormat="1" ht="23.1" customHeight="1">
      <c r="E72" s="1122"/>
      <c r="F72" s="1130"/>
      <c r="G72" s="1122"/>
      <c r="H72" s="1122"/>
      <c r="I72" s="1122"/>
      <c r="J72" s="1122"/>
    </row>
    <row r="73" spans="5:10" s="1118" customFormat="1" ht="23.1" customHeight="1">
      <c r="E73" s="1122"/>
      <c r="F73" s="1130"/>
      <c r="G73" s="1122"/>
      <c r="H73" s="1122"/>
      <c r="I73" s="1122"/>
      <c r="J73" s="1122"/>
    </row>
    <row r="74" spans="5:10" s="1118" customFormat="1" ht="23.1" customHeight="1">
      <c r="E74" s="1122"/>
      <c r="F74" s="1130"/>
      <c r="G74" s="1122"/>
      <c r="H74" s="1122"/>
      <c r="I74" s="1122"/>
      <c r="J74" s="1122"/>
    </row>
    <row r="75" spans="5:10" s="1118" customFormat="1" ht="23.1" customHeight="1">
      <c r="E75" s="1122"/>
      <c r="F75" s="1122"/>
      <c r="G75" s="1122"/>
      <c r="H75" s="1122"/>
      <c r="I75" s="1122"/>
      <c r="J75" s="1122"/>
    </row>
    <row r="76" spans="5:10" s="1118" customFormat="1" ht="23.1" customHeight="1">
      <c r="E76" s="1122"/>
      <c r="F76" s="1122"/>
      <c r="G76" s="1122"/>
      <c r="H76" s="1122"/>
      <c r="I76" s="1122"/>
      <c r="J76" s="1122"/>
    </row>
    <row r="77" spans="5:10" s="1118" customFormat="1" ht="23.1" customHeight="1">
      <c r="E77" s="1122"/>
      <c r="F77" s="1122"/>
      <c r="G77" s="1122"/>
      <c r="H77" s="1122"/>
      <c r="I77" s="1122"/>
      <c r="J77" s="1122"/>
    </row>
    <row r="78" spans="5:10" s="1118" customFormat="1" ht="23.1" customHeight="1">
      <c r="E78" s="1122"/>
      <c r="F78" s="1122"/>
      <c r="G78" s="1122"/>
      <c r="H78" s="1122"/>
      <c r="I78" s="1122"/>
      <c r="J78" s="1122"/>
    </row>
    <row r="79" spans="5:10" s="1118" customFormat="1" ht="23.1" customHeight="1">
      <c r="E79" s="1122"/>
      <c r="F79" s="1122"/>
      <c r="G79" s="1122"/>
      <c r="H79" s="1122"/>
      <c r="I79" s="1122"/>
      <c r="J79" s="1122"/>
    </row>
    <row r="80" spans="5:10" s="1118" customFormat="1" ht="23.1" customHeight="1">
      <c r="E80" s="1122"/>
      <c r="F80" s="1122"/>
      <c r="G80" s="1122"/>
      <c r="H80" s="1122"/>
      <c r="I80" s="1122"/>
      <c r="J80" s="1122"/>
    </row>
    <row r="81" spans="5:10" s="1118" customFormat="1" ht="23.1" customHeight="1">
      <c r="E81" s="1122"/>
      <c r="F81" s="1122"/>
      <c r="G81" s="1122"/>
      <c r="H81" s="1122"/>
      <c r="I81" s="1122"/>
      <c r="J81" s="1122"/>
    </row>
    <row r="82" spans="5:10" s="1118" customFormat="1" ht="23.1" customHeight="1">
      <c r="E82" s="1122"/>
      <c r="F82" s="1122"/>
      <c r="G82" s="1122"/>
      <c r="H82" s="1122"/>
      <c r="I82" s="1122"/>
      <c r="J82" s="1122"/>
    </row>
    <row r="83" spans="5:10" s="1118" customFormat="1" ht="23.1" customHeight="1">
      <c r="E83" s="1122"/>
      <c r="F83" s="1122"/>
      <c r="G83" s="1122"/>
      <c r="H83" s="1122"/>
      <c r="I83" s="1122"/>
      <c r="J83" s="1122"/>
    </row>
    <row r="84" spans="5:10" s="1118" customFormat="1" ht="23.1" customHeight="1">
      <c r="E84" s="1122"/>
      <c r="F84" s="1122"/>
      <c r="G84" s="1122"/>
      <c r="H84" s="1122"/>
      <c r="I84" s="1122"/>
      <c r="J84" s="1122"/>
    </row>
    <row r="85" spans="5:10" s="1118" customFormat="1" ht="23.1" customHeight="1">
      <c r="E85" s="1122"/>
      <c r="F85" s="1122"/>
      <c r="G85" s="1122"/>
      <c r="H85" s="1122"/>
      <c r="I85" s="1122"/>
      <c r="J85" s="1122"/>
    </row>
    <row r="86" spans="5:10" s="1118" customFormat="1" ht="23.1" customHeight="1">
      <c r="E86" s="1122"/>
      <c r="F86" s="1122"/>
      <c r="G86" s="1122"/>
      <c r="H86" s="1122"/>
      <c r="I86" s="1122"/>
      <c r="J86" s="1122"/>
    </row>
    <row r="87" spans="5:10" s="1118" customFormat="1" ht="23.1" customHeight="1">
      <c r="E87" s="1122"/>
      <c r="F87" s="1122"/>
      <c r="G87" s="1122"/>
      <c r="H87" s="1122"/>
      <c r="I87" s="1122"/>
      <c r="J87" s="1122"/>
    </row>
    <row r="88" spans="5:10" s="1118" customFormat="1" ht="23.1" customHeight="1">
      <c r="E88" s="1122"/>
      <c r="F88" s="1122"/>
      <c r="G88" s="1122"/>
      <c r="H88" s="1122"/>
      <c r="I88" s="1122"/>
      <c r="J88" s="1122"/>
    </row>
    <row r="89" spans="5:10" s="1118" customFormat="1" ht="23.1" customHeight="1">
      <c r="E89" s="1122"/>
      <c r="F89" s="1122"/>
      <c r="G89" s="1122"/>
      <c r="H89" s="1122"/>
      <c r="I89" s="1122"/>
      <c r="J89" s="1122"/>
    </row>
    <row r="90" spans="5:10" s="1118" customFormat="1" ht="23.1" customHeight="1">
      <c r="E90" s="1122"/>
      <c r="F90" s="1122"/>
      <c r="G90" s="1122"/>
      <c r="H90" s="1122"/>
      <c r="I90" s="1122"/>
      <c r="J90" s="1122"/>
    </row>
    <row r="91" spans="5:10" s="1118" customFormat="1" ht="23.1" customHeight="1">
      <c r="E91" s="1122"/>
      <c r="F91" s="1122"/>
      <c r="G91" s="1122"/>
      <c r="H91" s="1122"/>
      <c r="I91" s="1122"/>
      <c r="J91" s="1122"/>
    </row>
    <row r="92" spans="5:10" s="1118" customFormat="1" ht="23.1" customHeight="1">
      <c r="E92" s="1122"/>
      <c r="F92" s="1122"/>
      <c r="G92" s="1122"/>
      <c r="H92" s="1122"/>
      <c r="I92" s="1122"/>
      <c r="J92" s="1122"/>
    </row>
    <row r="93" spans="5:10" s="1118" customFormat="1" ht="23.1" customHeight="1">
      <c r="E93" s="1122"/>
      <c r="F93" s="1122"/>
      <c r="G93" s="1122"/>
      <c r="H93" s="1122"/>
      <c r="I93" s="1122"/>
      <c r="J93" s="1122"/>
    </row>
    <row r="94" spans="5:10" s="1118" customFormat="1" ht="23.1" customHeight="1">
      <c r="E94" s="1122"/>
      <c r="F94" s="1122"/>
      <c r="G94" s="1122"/>
      <c r="H94" s="1122"/>
      <c r="I94" s="1122"/>
      <c r="J94" s="1122"/>
    </row>
    <row r="95" spans="5:10" s="1118" customFormat="1" ht="23.1" customHeight="1">
      <c r="E95" s="1122"/>
      <c r="F95" s="1122"/>
      <c r="G95" s="1122"/>
      <c r="H95" s="1122"/>
      <c r="I95" s="1122"/>
      <c r="J95" s="1122"/>
    </row>
    <row r="96" spans="5:10" s="1118" customFormat="1" ht="23.1" customHeight="1">
      <c r="E96" s="1122"/>
      <c r="F96" s="1122"/>
      <c r="G96" s="1122"/>
      <c r="H96" s="1122"/>
      <c r="I96" s="1122"/>
      <c r="J96" s="1122"/>
    </row>
    <row r="97" spans="5:10" s="1118" customFormat="1" ht="23.1" customHeight="1">
      <c r="E97" s="1122"/>
      <c r="F97" s="1122"/>
      <c r="G97" s="1122"/>
      <c r="H97" s="1122"/>
      <c r="I97" s="1122"/>
      <c r="J97" s="1122"/>
    </row>
    <row r="98" spans="5:10" s="1118" customFormat="1" ht="23.1" customHeight="1">
      <c r="E98" s="1122"/>
      <c r="F98" s="1122"/>
      <c r="G98" s="1122"/>
      <c r="H98" s="1122"/>
      <c r="I98" s="1122"/>
      <c r="J98" s="1122"/>
    </row>
    <row r="99" spans="5:10" s="1118" customFormat="1" ht="23.1" customHeight="1">
      <c r="E99" s="1122"/>
      <c r="F99" s="1122"/>
      <c r="G99" s="1122"/>
      <c r="H99" s="1122"/>
      <c r="I99" s="1122"/>
      <c r="J99" s="1122"/>
    </row>
    <row r="100" spans="5:10" s="1118" customFormat="1" ht="23.1" customHeight="1">
      <c r="E100" s="1122"/>
      <c r="F100" s="1122"/>
      <c r="G100" s="1122"/>
      <c r="H100" s="1122"/>
      <c r="I100" s="1122"/>
      <c r="J100" s="1122"/>
    </row>
    <row r="101" spans="5:10" s="1118" customFormat="1" ht="23.1" customHeight="1">
      <c r="E101" s="1122"/>
      <c r="F101" s="1122"/>
      <c r="G101" s="1122"/>
      <c r="H101" s="1122"/>
      <c r="I101" s="1122"/>
      <c r="J101" s="1122"/>
    </row>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
  <sheetViews>
    <sheetView workbookViewId="0">
      <selection activeCell="A2" sqref="A2"/>
    </sheetView>
  </sheetViews>
  <sheetFormatPr baseColWidth="10" defaultColWidth="9.140625" defaultRowHeight="15"/>
  <sheetData>
    <row r="1" spans="1:1">
      <c r="A1" t="e">
        <f>RTD("bloomberg.ccyreader", "", "#track", "DBG", "XAPI", "1.0", "OpenFile")</f>
        <v>#N/A</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sheetPr>
  <dimension ref="A1:BA129"/>
  <sheetViews>
    <sheetView topLeftCell="A43" zoomScale="90" zoomScaleNormal="90" zoomScaleSheetLayoutView="50" workbookViewId="0">
      <selection activeCell="AD28" sqref="AD28"/>
    </sheetView>
  </sheetViews>
  <sheetFormatPr baseColWidth="10" defaultColWidth="9" defaultRowHeight="15" customHeight="1"/>
  <cols>
    <col min="1" max="1" width="3.7109375" style="1117" customWidth="1"/>
    <col min="2" max="18" width="9" style="1117"/>
    <col min="19" max="19" width="10" style="1117" customWidth="1"/>
    <col min="20" max="16384" width="9" style="1117"/>
  </cols>
  <sheetData>
    <row r="1" spans="1:53" ht="17.25" customHeight="1">
      <c r="A1" s="1154"/>
    </row>
    <row r="5" spans="1:53" ht="23.25">
      <c r="B5" s="1129" t="s">
        <v>1774</v>
      </c>
      <c r="R5" s="1119"/>
      <c r="S5" s="1119"/>
      <c r="T5" s="1119"/>
      <c r="U5" s="1119"/>
      <c r="V5" s="1119"/>
      <c r="W5" s="1119"/>
      <c r="X5" s="1119"/>
      <c r="Y5" s="1119"/>
      <c r="Z5" s="1119"/>
      <c r="AA5" s="1119"/>
      <c r="AB5" s="1119"/>
      <c r="AC5" s="1119"/>
      <c r="AD5" s="1119"/>
      <c r="AE5" s="1119"/>
      <c r="AF5" s="1119"/>
      <c r="AG5" s="1119"/>
      <c r="AH5" s="1119"/>
      <c r="AI5" s="1119"/>
      <c r="AJ5" s="1119"/>
      <c r="AK5" s="1119"/>
      <c r="AL5" s="1119"/>
      <c r="AM5" s="1119"/>
      <c r="AN5" s="1119"/>
      <c r="AO5" s="1119"/>
      <c r="AP5" s="1119"/>
      <c r="AQ5" s="1119"/>
      <c r="AR5" s="1119"/>
      <c r="AS5" s="1119"/>
      <c r="AT5" s="1119"/>
      <c r="AU5" s="1119"/>
      <c r="AV5" s="1119"/>
      <c r="AW5" s="1119"/>
      <c r="AX5" s="1119"/>
      <c r="AY5" s="1119"/>
      <c r="AZ5" s="1119"/>
      <c r="BA5" s="1119"/>
    </row>
    <row r="6" spans="1:53" ht="15" customHeight="1">
      <c r="R6" s="1119"/>
      <c r="S6" s="1119"/>
      <c r="T6" s="1119"/>
      <c r="U6" s="1119"/>
      <c r="V6" s="1119"/>
      <c r="W6" s="1119"/>
      <c r="X6" s="1119"/>
      <c r="Y6" s="1119"/>
      <c r="Z6" s="1119"/>
      <c r="AA6" s="1119"/>
      <c r="AB6" s="1119"/>
      <c r="AC6" s="1119"/>
      <c r="AD6" s="1119"/>
      <c r="AE6" s="1119"/>
      <c r="AF6" s="1119"/>
      <c r="AG6" s="1119"/>
      <c r="AH6" s="1119"/>
      <c r="AI6" s="1119"/>
      <c r="AJ6" s="1119"/>
      <c r="AK6" s="1119"/>
      <c r="AL6" s="1119"/>
      <c r="AM6" s="1119"/>
      <c r="AN6" s="1119"/>
      <c r="AO6" s="1119"/>
      <c r="AP6" s="1119"/>
      <c r="AQ6" s="1119"/>
      <c r="AR6" s="1119"/>
      <c r="AS6" s="1119"/>
      <c r="AT6" s="1119"/>
      <c r="AU6" s="1119"/>
      <c r="AV6" s="1119"/>
      <c r="AW6" s="1119"/>
      <c r="AX6" s="1119"/>
      <c r="AY6" s="1119"/>
      <c r="AZ6" s="1119"/>
      <c r="BA6" s="1119"/>
    </row>
    <row r="7" spans="1:53" ht="15" customHeight="1">
      <c r="R7" s="1119"/>
      <c r="S7" s="1119"/>
      <c r="T7" s="1119"/>
      <c r="U7" s="1119"/>
      <c r="V7" s="1119"/>
      <c r="W7" s="1119"/>
      <c r="X7" s="1119"/>
      <c r="Y7" s="1119"/>
      <c r="Z7" s="1119"/>
      <c r="AA7" s="1119"/>
      <c r="AB7" s="1119"/>
      <c r="AC7" s="1119"/>
      <c r="AD7" s="1119"/>
      <c r="AE7" s="1119"/>
      <c r="AF7" s="1119"/>
      <c r="AG7" s="1119"/>
      <c r="AH7" s="1119"/>
      <c r="AI7" s="1119"/>
      <c r="AJ7" s="1119"/>
      <c r="AK7" s="1119"/>
      <c r="AL7" s="1119"/>
      <c r="AM7" s="1119"/>
      <c r="AN7" s="1119"/>
      <c r="AO7" s="1119"/>
      <c r="AP7" s="1119"/>
      <c r="AQ7" s="1119"/>
      <c r="AR7" s="1119"/>
      <c r="AS7" s="1119"/>
      <c r="AT7" s="1119"/>
      <c r="AU7" s="1119"/>
      <c r="AV7" s="1119"/>
      <c r="AW7" s="1119"/>
      <c r="AX7" s="1119"/>
      <c r="AY7" s="1119"/>
      <c r="AZ7" s="1119"/>
      <c r="BA7" s="1119"/>
    </row>
    <row r="8" spans="1:53" ht="15" customHeight="1">
      <c r="R8" s="1119"/>
      <c r="S8" s="1119"/>
      <c r="T8" s="1119"/>
      <c r="U8" s="1119"/>
      <c r="V8" s="1119"/>
      <c r="W8" s="1119"/>
      <c r="X8" s="1119"/>
      <c r="Y8" s="1119"/>
      <c r="Z8" s="1119"/>
      <c r="AA8" s="1119"/>
      <c r="AB8" s="1119"/>
      <c r="AC8" s="1119"/>
      <c r="AD8" s="1119"/>
      <c r="AE8" s="1119"/>
      <c r="AF8" s="1119"/>
      <c r="AG8" s="1119"/>
      <c r="AH8" s="1119"/>
      <c r="AI8" s="1119"/>
      <c r="AJ8" s="1119"/>
      <c r="AK8" s="1119"/>
      <c r="AL8" s="1119"/>
      <c r="AM8" s="1119"/>
      <c r="AN8" s="1119"/>
      <c r="AO8" s="1119"/>
      <c r="AP8" s="1119"/>
      <c r="AQ8" s="1119"/>
      <c r="AR8" s="1119"/>
      <c r="AS8" s="1119"/>
      <c r="AT8" s="1119"/>
      <c r="AU8" s="1119"/>
      <c r="AV8" s="1119"/>
      <c r="AW8" s="1119"/>
      <c r="AX8" s="1119"/>
      <c r="AY8" s="1119"/>
      <c r="AZ8" s="1119"/>
      <c r="BA8" s="1119"/>
    </row>
    <row r="9" spans="1:53" ht="15" customHeight="1">
      <c r="R9" s="1119"/>
      <c r="S9" s="1119"/>
      <c r="T9" s="1119"/>
      <c r="U9" s="1119"/>
      <c r="V9" s="1119"/>
      <c r="W9" s="1119"/>
      <c r="X9" s="1119"/>
      <c r="Y9" s="1119"/>
      <c r="Z9" s="1119"/>
      <c r="AA9" s="1119"/>
      <c r="AB9" s="1119"/>
      <c r="AC9" s="1119"/>
      <c r="AD9" s="1119"/>
      <c r="AE9" s="1119"/>
      <c r="AF9" s="1119"/>
      <c r="AG9" s="1119"/>
      <c r="AH9" s="1119"/>
      <c r="AI9" s="1119"/>
      <c r="AJ9" s="1119"/>
      <c r="AK9" s="1119"/>
      <c r="AL9" s="1119"/>
      <c r="AM9" s="1119"/>
      <c r="AN9" s="1119"/>
      <c r="AO9" s="1119"/>
      <c r="AP9" s="1119"/>
      <c r="AQ9" s="1119"/>
      <c r="AR9" s="1119"/>
      <c r="AS9" s="1119"/>
      <c r="AT9" s="1119"/>
      <c r="AU9" s="1119"/>
      <c r="AV9" s="1119"/>
      <c r="AW9" s="1119"/>
      <c r="AX9" s="1119"/>
      <c r="AY9" s="1119"/>
      <c r="AZ9" s="1119"/>
      <c r="BA9" s="1119"/>
    </row>
    <row r="10" spans="1:53" ht="15" customHeight="1">
      <c r="R10" s="1119"/>
      <c r="S10" s="1119"/>
      <c r="T10" s="1119"/>
      <c r="U10" s="1119"/>
      <c r="V10" s="1119"/>
      <c r="W10" s="1119"/>
      <c r="X10" s="1119"/>
      <c r="Y10" s="1119"/>
      <c r="Z10" s="1119"/>
      <c r="AA10" s="1119"/>
      <c r="AB10" s="1119"/>
      <c r="AC10" s="1119"/>
      <c r="AD10" s="1119"/>
      <c r="AE10" s="1119"/>
      <c r="AF10" s="1119"/>
      <c r="AG10" s="1119"/>
      <c r="AH10" s="1119"/>
      <c r="AI10" s="1119"/>
      <c r="AJ10" s="1119"/>
      <c r="AK10" s="1119"/>
      <c r="AL10" s="1119"/>
      <c r="AM10" s="1119"/>
      <c r="AN10" s="1119"/>
      <c r="AO10" s="1119"/>
      <c r="AP10" s="1119"/>
      <c r="AQ10" s="1119"/>
      <c r="AR10" s="1119"/>
      <c r="AS10" s="1119"/>
      <c r="AT10" s="1119"/>
      <c r="AU10" s="1119"/>
      <c r="AV10" s="1119"/>
      <c r="AW10" s="1119"/>
      <c r="AX10" s="1119"/>
      <c r="AY10" s="1119"/>
      <c r="AZ10" s="1119"/>
      <c r="BA10" s="1119"/>
    </row>
    <row r="11" spans="1:53" ht="15" customHeight="1">
      <c r="R11" s="1119"/>
      <c r="S11" s="1119"/>
      <c r="T11" s="1119"/>
      <c r="U11" s="1119"/>
      <c r="V11" s="1119"/>
      <c r="W11" s="1119"/>
      <c r="X11" s="1119"/>
      <c r="Y11" s="1119"/>
      <c r="Z11" s="1119"/>
      <c r="AA11" s="1119"/>
      <c r="AB11" s="1119"/>
      <c r="AC11" s="1119"/>
      <c r="AD11" s="1119"/>
      <c r="AE11" s="1119"/>
      <c r="AF11" s="1119"/>
      <c r="AG11" s="1119"/>
      <c r="AH11" s="1119"/>
      <c r="AI11" s="1119"/>
      <c r="AJ11" s="1119"/>
      <c r="AK11" s="1119"/>
      <c r="AL11" s="1119"/>
      <c r="AM11" s="1119"/>
      <c r="AN11" s="1119"/>
      <c r="AO11" s="1119"/>
      <c r="AP11" s="1119"/>
      <c r="AQ11" s="1119"/>
      <c r="AR11" s="1119"/>
      <c r="AS11" s="1119"/>
      <c r="AT11" s="1119"/>
      <c r="AU11" s="1119"/>
      <c r="AV11" s="1119"/>
      <c r="AW11" s="1119"/>
      <c r="AX11" s="1119"/>
      <c r="AY11" s="1119"/>
      <c r="AZ11" s="1119"/>
      <c r="BA11" s="1119"/>
    </row>
    <row r="12" spans="1:53" ht="15" customHeight="1">
      <c r="R12" s="1119"/>
      <c r="S12" s="1119"/>
      <c r="T12" s="1119"/>
      <c r="U12" s="1119"/>
      <c r="V12" s="1119"/>
      <c r="W12" s="1119"/>
      <c r="X12" s="1119"/>
      <c r="Y12" s="1119"/>
      <c r="Z12" s="1119"/>
      <c r="AA12" s="1119"/>
      <c r="AB12" s="1119"/>
      <c r="AC12" s="1119"/>
      <c r="AD12" s="1119"/>
      <c r="AE12" s="1119"/>
      <c r="AF12" s="1119"/>
      <c r="AG12" s="1119"/>
      <c r="AH12" s="1119"/>
      <c r="AI12" s="1119"/>
      <c r="AJ12" s="1119"/>
      <c r="AK12" s="1119"/>
      <c r="AL12" s="1119"/>
      <c r="AM12" s="1119"/>
      <c r="AN12" s="1119"/>
      <c r="AO12" s="1119"/>
      <c r="AP12" s="1119"/>
      <c r="AQ12" s="1119"/>
      <c r="AR12" s="1119"/>
      <c r="AS12" s="1119"/>
      <c r="AT12" s="1119"/>
      <c r="AU12" s="1119"/>
      <c r="AV12" s="1119"/>
      <c r="AW12" s="1119"/>
      <c r="AX12" s="1119"/>
      <c r="AY12" s="1119"/>
      <c r="AZ12" s="1119"/>
      <c r="BA12" s="1119"/>
    </row>
    <row r="13" spans="1:53" ht="15" customHeight="1">
      <c r="R13" s="1119"/>
      <c r="S13" s="1119"/>
      <c r="T13" s="1119"/>
      <c r="U13" s="1119"/>
      <c r="V13" s="1119"/>
      <c r="W13" s="1119"/>
      <c r="X13" s="1119"/>
      <c r="Y13" s="1119"/>
      <c r="Z13" s="1119"/>
      <c r="AA13" s="1119"/>
      <c r="AB13" s="1119"/>
      <c r="AC13" s="1119"/>
      <c r="AD13" s="1119"/>
      <c r="AE13" s="1119"/>
      <c r="AF13" s="1119"/>
      <c r="AG13" s="1119"/>
      <c r="AH13" s="1119"/>
      <c r="AI13" s="1119"/>
      <c r="AJ13" s="1119"/>
      <c r="AK13" s="1119"/>
      <c r="AL13" s="1119"/>
      <c r="AM13" s="1119"/>
      <c r="AN13" s="1119"/>
      <c r="AO13" s="1119"/>
      <c r="AP13" s="1119"/>
      <c r="AQ13" s="1119"/>
      <c r="AR13" s="1119"/>
      <c r="AS13" s="1119"/>
      <c r="AT13" s="1119"/>
      <c r="AU13" s="1119"/>
      <c r="AV13" s="1119"/>
      <c r="AW13" s="1119"/>
      <c r="AX13" s="1119"/>
      <c r="AY13" s="1119"/>
      <c r="AZ13" s="1119"/>
      <c r="BA13" s="1119"/>
    </row>
    <row r="14" spans="1:53" ht="15" customHeight="1">
      <c r="R14" s="1119"/>
      <c r="S14" s="1119"/>
      <c r="T14" s="1119"/>
      <c r="U14" s="1119"/>
      <c r="V14" s="1119"/>
      <c r="W14" s="1119"/>
      <c r="X14" s="1119"/>
      <c r="Y14" s="1119"/>
      <c r="Z14" s="1119"/>
      <c r="AA14" s="1119"/>
      <c r="AB14" s="1119"/>
      <c r="AC14" s="1119"/>
      <c r="AD14" s="1119"/>
      <c r="AE14" s="1119"/>
      <c r="AF14" s="1119"/>
      <c r="AG14" s="1119"/>
      <c r="AH14" s="1119"/>
      <c r="AI14" s="1119"/>
      <c r="AJ14" s="1119"/>
      <c r="AK14" s="1119"/>
      <c r="AL14" s="1119"/>
      <c r="AM14" s="1119"/>
      <c r="AN14" s="1119"/>
      <c r="AO14" s="1119"/>
      <c r="AP14" s="1119"/>
      <c r="AQ14" s="1119"/>
      <c r="AR14" s="1119"/>
      <c r="AS14" s="1119"/>
      <c r="AT14" s="1119"/>
      <c r="AU14" s="1119"/>
      <c r="AV14" s="1119"/>
      <c r="AW14" s="1119"/>
      <c r="AX14" s="1119"/>
      <c r="AY14" s="1119"/>
      <c r="AZ14" s="1119"/>
      <c r="BA14" s="1119"/>
    </row>
    <row r="15" spans="1:53" ht="15" customHeight="1">
      <c r="R15" s="1119"/>
      <c r="S15" s="1119"/>
      <c r="T15" s="1119"/>
      <c r="U15" s="1119"/>
      <c r="V15" s="1119"/>
      <c r="W15" s="1119"/>
      <c r="X15" s="1119"/>
      <c r="Y15" s="1119"/>
      <c r="Z15" s="1119"/>
      <c r="AA15" s="1119"/>
      <c r="AB15" s="1119"/>
      <c r="AC15" s="1119"/>
      <c r="AD15" s="1119"/>
      <c r="AE15" s="1119"/>
      <c r="AF15" s="1119"/>
      <c r="AG15" s="1119"/>
      <c r="AH15" s="1119"/>
      <c r="AI15" s="1119"/>
      <c r="AJ15" s="1119"/>
      <c r="AK15" s="1119"/>
      <c r="AL15" s="1119"/>
      <c r="AM15" s="1119"/>
      <c r="AN15" s="1119"/>
      <c r="AO15" s="1119"/>
      <c r="AP15" s="1119"/>
      <c r="AQ15" s="1119"/>
      <c r="AR15" s="1119"/>
      <c r="AS15" s="1119"/>
      <c r="AT15" s="1119"/>
      <c r="AU15" s="1119"/>
      <c r="AV15" s="1119"/>
      <c r="AW15" s="1119"/>
      <c r="AX15" s="1119"/>
      <c r="AY15" s="1119"/>
      <c r="AZ15" s="1119"/>
      <c r="BA15" s="1119"/>
    </row>
    <row r="16" spans="1:53" ht="15" customHeight="1">
      <c r="R16" s="1119"/>
      <c r="S16" s="1119"/>
      <c r="T16" s="1119"/>
      <c r="U16" s="1119"/>
      <c r="V16" s="1119"/>
      <c r="W16" s="1119"/>
      <c r="X16" s="1119"/>
      <c r="Y16" s="1119"/>
      <c r="Z16" s="1119"/>
      <c r="AA16" s="1119"/>
      <c r="AB16" s="1119"/>
      <c r="AC16" s="1119"/>
      <c r="AD16" s="1119"/>
      <c r="AE16" s="1119"/>
      <c r="AF16" s="1119"/>
      <c r="AG16" s="1119"/>
      <c r="AH16" s="1119"/>
      <c r="AI16" s="1119"/>
      <c r="AJ16" s="1119"/>
      <c r="AK16" s="1119"/>
      <c r="AL16" s="1119"/>
      <c r="AM16" s="1119"/>
      <c r="AN16" s="1119"/>
      <c r="AO16" s="1119"/>
      <c r="AP16" s="1119"/>
      <c r="AQ16" s="1119"/>
      <c r="AR16" s="1119"/>
      <c r="AS16" s="1119"/>
      <c r="AT16" s="1119"/>
      <c r="AU16" s="1119"/>
      <c r="AV16" s="1119"/>
      <c r="AW16" s="1119"/>
      <c r="AX16" s="1119"/>
      <c r="AY16" s="1119"/>
      <c r="AZ16" s="1119"/>
      <c r="BA16" s="1119"/>
    </row>
    <row r="17" spans="18:53" ht="15" customHeight="1">
      <c r="R17" s="1119"/>
      <c r="S17" s="1119"/>
      <c r="T17" s="1119"/>
      <c r="U17" s="1119"/>
      <c r="V17" s="1119"/>
      <c r="W17" s="1119"/>
      <c r="X17" s="1119"/>
      <c r="Y17" s="1119"/>
      <c r="Z17" s="1119"/>
      <c r="AA17" s="1119"/>
      <c r="AB17" s="1119"/>
      <c r="AC17" s="1119"/>
      <c r="AD17" s="1119"/>
      <c r="AE17" s="1119"/>
      <c r="AF17" s="1119"/>
      <c r="AG17" s="1119"/>
      <c r="AH17" s="1119"/>
      <c r="AI17" s="1119"/>
      <c r="AJ17" s="1119"/>
      <c r="AK17" s="1119"/>
      <c r="AL17" s="1119"/>
      <c r="AM17" s="1119"/>
      <c r="AN17" s="1119"/>
      <c r="AO17" s="1119"/>
      <c r="AP17" s="1119"/>
      <c r="AQ17" s="1119"/>
      <c r="AR17" s="1119"/>
      <c r="AS17" s="1119"/>
      <c r="AT17" s="1119"/>
      <c r="AU17" s="1119"/>
      <c r="AV17" s="1119"/>
      <c r="AW17" s="1119"/>
      <c r="AX17" s="1119"/>
      <c r="AY17" s="1119"/>
      <c r="AZ17" s="1119"/>
      <c r="BA17" s="1119"/>
    </row>
    <row r="18" spans="18:53" ht="15" customHeight="1">
      <c r="R18" s="1119"/>
      <c r="S18" s="1119"/>
      <c r="T18" s="1119"/>
      <c r="U18" s="1119"/>
      <c r="V18" s="1119"/>
      <c r="W18" s="1119"/>
      <c r="X18" s="1119"/>
      <c r="Y18" s="1119"/>
      <c r="Z18" s="1119"/>
      <c r="AA18" s="1119"/>
      <c r="AB18" s="1119"/>
      <c r="AC18" s="1119"/>
      <c r="AD18" s="1119"/>
      <c r="AE18" s="1119"/>
      <c r="AF18" s="1119"/>
      <c r="AG18" s="1119"/>
      <c r="AH18" s="1119"/>
      <c r="AI18" s="1119"/>
      <c r="AJ18" s="1119"/>
      <c r="AK18" s="1119"/>
      <c r="AL18" s="1119"/>
      <c r="AM18" s="1119"/>
      <c r="AN18" s="1119"/>
      <c r="AO18" s="1119"/>
      <c r="AP18" s="1119"/>
      <c r="AQ18" s="1119"/>
      <c r="AR18" s="1119"/>
      <c r="AS18" s="1119"/>
      <c r="AT18" s="1119"/>
      <c r="AU18" s="1119"/>
      <c r="AV18" s="1119"/>
      <c r="AW18" s="1119"/>
      <c r="AX18" s="1119"/>
      <c r="AY18" s="1119"/>
      <c r="AZ18" s="1119"/>
      <c r="BA18" s="1119"/>
    </row>
    <row r="19" spans="18:53" ht="15" customHeight="1">
      <c r="R19" s="1119"/>
      <c r="S19" s="1119"/>
      <c r="T19" s="1119"/>
      <c r="U19" s="1119"/>
      <c r="V19" s="1119"/>
      <c r="W19" s="1119"/>
      <c r="X19" s="1119"/>
      <c r="Y19" s="1119"/>
      <c r="Z19" s="1119"/>
      <c r="AA19" s="1119"/>
      <c r="AB19" s="1119"/>
      <c r="AC19" s="1119"/>
      <c r="AD19" s="1119"/>
      <c r="AE19" s="1119"/>
      <c r="AF19" s="1119"/>
      <c r="AG19" s="1119"/>
      <c r="AH19" s="1119"/>
      <c r="AI19" s="1119"/>
      <c r="AJ19" s="1119"/>
      <c r="AK19" s="1119"/>
      <c r="AL19" s="1119"/>
      <c r="AM19" s="1119"/>
      <c r="AN19" s="1119"/>
      <c r="AO19" s="1119"/>
      <c r="AP19" s="1119"/>
      <c r="AQ19" s="1119"/>
      <c r="AR19" s="1119"/>
      <c r="AS19" s="1119"/>
      <c r="AT19" s="1119"/>
      <c r="AU19" s="1119"/>
      <c r="AV19" s="1119"/>
      <c r="AW19" s="1119"/>
      <c r="AX19" s="1119"/>
      <c r="AY19" s="1119"/>
      <c r="AZ19" s="1119"/>
      <c r="BA19" s="1119"/>
    </row>
    <row r="20" spans="18:53" ht="15" customHeight="1">
      <c r="R20" s="1119"/>
      <c r="S20" s="1119"/>
      <c r="T20" s="1119"/>
      <c r="U20" s="1119"/>
      <c r="V20" s="1119"/>
      <c r="W20" s="1119"/>
      <c r="X20" s="1119"/>
      <c r="Y20" s="1119"/>
      <c r="Z20" s="1119"/>
      <c r="AA20" s="1119"/>
      <c r="AB20" s="1119"/>
      <c r="AC20" s="1119"/>
      <c r="AD20" s="1119"/>
      <c r="AE20" s="1119"/>
      <c r="AF20" s="1119"/>
      <c r="AG20" s="1119"/>
      <c r="AH20" s="1119"/>
      <c r="AI20" s="1119"/>
      <c r="AJ20" s="1119"/>
      <c r="AK20" s="1119"/>
      <c r="AL20" s="1119"/>
      <c r="AM20" s="1119"/>
      <c r="AN20" s="1119"/>
      <c r="AO20" s="1119"/>
      <c r="AP20" s="1119"/>
      <c r="AQ20" s="1119"/>
      <c r="AR20" s="1119"/>
      <c r="AS20" s="1119"/>
      <c r="AT20" s="1119"/>
      <c r="AU20" s="1119"/>
      <c r="AV20" s="1119"/>
      <c r="AW20" s="1119"/>
      <c r="AX20" s="1119"/>
      <c r="AY20" s="1119"/>
      <c r="AZ20" s="1119"/>
      <c r="BA20" s="1119"/>
    </row>
    <row r="21" spans="18:53" ht="15" customHeight="1">
      <c r="R21" s="1119"/>
      <c r="S21" s="1119"/>
      <c r="T21" s="1119"/>
      <c r="U21" s="1119"/>
      <c r="V21" s="1119"/>
      <c r="W21" s="1119"/>
      <c r="X21" s="1119"/>
      <c r="Y21" s="1119"/>
      <c r="Z21" s="1119"/>
      <c r="AA21" s="1119"/>
      <c r="AB21" s="1119"/>
      <c r="AC21" s="1119"/>
      <c r="AD21" s="1119"/>
      <c r="AE21" s="1119"/>
      <c r="AF21" s="1119"/>
      <c r="AG21" s="1119"/>
      <c r="AH21" s="1119"/>
      <c r="AI21" s="1119"/>
      <c r="AJ21" s="1119"/>
      <c r="AK21" s="1119"/>
      <c r="AL21" s="1119"/>
      <c r="AM21" s="1119"/>
      <c r="AN21" s="1119"/>
      <c r="AO21" s="1119"/>
      <c r="AP21" s="1119"/>
      <c r="AQ21" s="1119"/>
      <c r="AR21" s="1119"/>
      <c r="AS21" s="1119"/>
      <c r="AT21" s="1119"/>
      <c r="AU21" s="1119"/>
      <c r="AV21" s="1119"/>
      <c r="AW21" s="1119"/>
      <c r="AX21" s="1119"/>
      <c r="AY21" s="1119"/>
      <c r="AZ21" s="1119"/>
      <c r="BA21" s="1119"/>
    </row>
    <row r="22" spans="18:53" ht="15" customHeight="1">
      <c r="R22" s="1119"/>
      <c r="S22" s="1119"/>
      <c r="T22" s="1119"/>
      <c r="U22" s="1119"/>
      <c r="V22" s="1119"/>
      <c r="W22" s="1119"/>
      <c r="X22" s="1119"/>
      <c r="Y22" s="1119"/>
      <c r="Z22" s="1119"/>
      <c r="AA22" s="1119"/>
      <c r="AB22" s="1119"/>
      <c r="AC22" s="1119"/>
      <c r="AD22" s="1119"/>
      <c r="AE22" s="1119"/>
      <c r="AF22" s="1119"/>
      <c r="AG22" s="1119"/>
      <c r="AH22" s="1119"/>
      <c r="AI22" s="1119"/>
      <c r="AJ22" s="1119"/>
      <c r="AK22" s="1119"/>
      <c r="AL22" s="1119"/>
      <c r="AM22" s="1119"/>
      <c r="AN22" s="1119"/>
      <c r="AO22" s="1119"/>
      <c r="AP22" s="1119"/>
      <c r="AQ22" s="1119"/>
      <c r="AR22" s="1119"/>
      <c r="AS22" s="1119"/>
      <c r="AT22" s="1119"/>
      <c r="AU22" s="1119"/>
      <c r="AV22" s="1119"/>
      <c r="AW22" s="1119"/>
      <c r="AX22" s="1119"/>
      <c r="AY22" s="1119"/>
      <c r="AZ22" s="1119"/>
      <c r="BA22" s="1119"/>
    </row>
    <row r="23" spans="18:53" ht="15" customHeight="1">
      <c r="R23" s="1119"/>
      <c r="S23" s="1119"/>
      <c r="T23" s="1119"/>
      <c r="U23" s="1119"/>
      <c r="V23" s="1119"/>
      <c r="W23" s="1119"/>
      <c r="X23" s="1119"/>
      <c r="Y23" s="1119"/>
      <c r="Z23" s="1119"/>
      <c r="AA23" s="1119"/>
      <c r="AB23" s="1119"/>
      <c r="AC23" s="1119"/>
      <c r="AD23" s="1119"/>
      <c r="AE23" s="1119"/>
      <c r="AF23" s="1119"/>
      <c r="AG23" s="1119"/>
      <c r="AH23" s="1119"/>
      <c r="AI23" s="1119"/>
      <c r="AJ23" s="1119"/>
      <c r="AK23" s="1119"/>
      <c r="AL23" s="1119"/>
      <c r="AM23" s="1119"/>
      <c r="AN23" s="1119"/>
      <c r="AO23" s="1119"/>
      <c r="AP23" s="1119"/>
      <c r="AQ23" s="1119"/>
      <c r="AR23" s="1119"/>
      <c r="AS23" s="1119"/>
      <c r="AT23" s="1119"/>
      <c r="AU23" s="1119"/>
      <c r="AV23" s="1119"/>
      <c r="AW23" s="1119"/>
      <c r="AX23" s="1119"/>
      <c r="AY23" s="1119"/>
      <c r="AZ23" s="1119"/>
      <c r="BA23" s="1119"/>
    </row>
    <row r="24" spans="18:53" ht="15" customHeight="1">
      <c r="R24" s="1119"/>
      <c r="S24" s="1119"/>
      <c r="T24" s="1119"/>
      <c r="U24" s="1119"/>
      <c r="V24" s="1119"/>
      <c r="W24" s="1119"/>
      <c r="X24" s="1119"/>
      <c r="Y24" s="1119"/>
      <c r="Z24" s="1119"/>
      <c r="AA24" s="1119"/>
      <c r="AB24" s="1119"/>
      <c r="AC24" s="1119"/>
      <c r="AD24" s="1119"/>
      <c r="AE24" s="1119"/>
      <c r="AF24" s="1119"/>
      <c r="AG24" s="1119"/>
      <c r="AH24" s="1119"/>
      <c r="AI24" s="1119"/>
      <c r="AJ24" s="1119"/>
      <c r="AK24" s="1119"/>
      <c r="AL24" s="1119"/>
      <c r="AM24" s="1119"/>
      <c r="AN24" s="1119"/>
      <c r="AO24" s="1119"/>
      <c r="AP24" s="1119"/>
      <c r="AQ24" s="1119"/>
      <c r="AR24" s="1119"/>
      <c r="AS24" s="1119"/>
      <c r="AT24" s="1119"/>
      <c r="AU24" s="1119"/>
      <c r="AV24" s="1119"/>
      <c r="AW24" s="1119"/>
      <c r="AX24" s="1119"/>
      <c r="AY24" s="1119"/>
      <c r="AZ24" s="1119"/>
      <c r="BA24" s="1119"/>
    </row>
    <row r="25" spans="18:53" ht="15" customHeight="1">
      <c r="R25" s="1119"/>
      <c r="S25" s="1119"/>
      <c r="T25" s="1119"/>
      <c r="U25" s="1119"/>
      <c r="V25" s="1119"/>
      <c r="W25" s="1119"/>
      <c r="X25" s="1119"/>
      <c r="Y25" s="1119"/>
      <c r="Z25" s="1119"/>
      <c r="AA25" s="1119"/>
      <c r="AB25" s="1119"/>
      <c r="AC25" s="1119"/>
      <c r="AD25" s="1119"/>
      <c r="AE25" s="1119"/>
      <c r="AF25" s="1119"/>
      <c r="AG25" s="1119"/>
      <c r="AH25" s="1119"/>
      <c r="AI25" s="1119"/>
      <c r="AJ25" s="1119"/>
      <c r="AK25" s="1119"/>
      <c r="AL25" s="1119"/>
      <c r="AM25" s="1119"/>
      <c r="AN25" s="1119"/>
      <c r="AO25" s="1119"/>
      <c r="AP25" s="1119"/>
      <c r="AQ25" s="1119"/>
      <c r="AR25" s="1119"/>
      <c r="AS25" s="1119"/>
      <c r="AT25" s="1119"/>
      <c r="AU25" s="1119"/>
      <c r="AV25" s="1119"/>
      <c r="AW25" s="1119"/>
      <c r="AX25" s="1119"/>
      <c r="AY25" s="1119"/>
      <c r="AZ25" s="1119"/>
      <c r="BA25" s="1119"/>
    </row>
    <row r="26" spans="18:53" ht="15" customHeight="1">
      <c r="R26" s="1119"/>
      <c r="S26" s="1119"/>
      <c r="T26" s="1119"/>
      <c r="U26" s="1119"/>
      <c r="V26" s="1119"/>
      <c r="W26" s="1119"/>
      <c r="X26" s="1119"/>
      <c r="Y26" s="1119"/>
      <c r="Z26" s="1119"/>
      <c r="AA26" s="1119"/>
      <c r="AB26" s="1119"/>
      <c r="AC26" s="1119"/>
      <c r="AD26" s="1119"/>
      <c r="AE26" s="1119"/>
      <c r="AF26" s="1119"/>
      <c r="AG26" s="1119"/>
      <c r="AH26" s="1119"/>
      <c r="AI26" s="1119"/>
      <c r="AJ26" s="1119"/>
      <c r="AK26" s="1119"/>
      <c r="AL26" s="1119"/>
      <c r="AM26" s="1119"/>
      <c r="AN26" s="1119"/>
      <c r="AO26" s="1119"/>
      <c r="AP26" s="1119"/>
      <c r="AQ26" s="1119"/>
      <c r="AR26" s="1119"/>
      <c r="AS26" s="1119"/>
      <c r="AT26" s="1119"/>
      <c r="AU26" s="1119"/>
      <c r="AV26" s="1119"/>
      <c r="AW26" s="1119"/>
      <c r="AX26" s="1119"/>
      <c r="AY26" s="1119"/>
      <c r="AZ26" s="1119"/>
      <c r="BA26" s="1119"/>
    </row>
    <row r="27" spans="18:53" ht="15" customHeight="1">
      <c r="R27" s="1119"/>
      <c r="S27" s="1119"/>
      <c r="T27" s="1119"/>
      <c r="U27" s="1119"/>
      <c r="V27" s="1119"/>
      <c r="W27" s="1119"/>
      <c r="X27" s="1119"/>
      <c r="Y27" s="1119"/>
      <c r="Z27" s="1119"/>
      <c r="AA27" s="1119"/>
      <c r="AB27" s="1119"/>
      <c r="AC27" s="1119"/>
      <c r="AD27" s="1119"/>
      <c r="AE27" s="1119"/>
      <c r="AF27" s="1119"/>
      <c r="AG27" s="1119"/>
      <c r="AH27" s="1119"/>
      <c r="AI27" s="1119"/>
      <c r="AJ27" s="1119"/>
      <c r="AK27" s="1119"/>
      <c r="AL27" s="1119"/>
      <c r="AM27" s="1119"/>
      <c r="AN27" s="1119"/>
      <c r="AO27" s="1119"/>
      <c r="AP27" s="1119"/>
      <c r="AQ27" s="1119"/>
      <c r="AR27" s="1119"/>
      <c r="AS27" s="1119"/>
      <c r="AT27" s="1119"/>
      <c r="AU27" s="1119"/>
      <c r="AV27" s="1119"/>
      <c r="AW27" s="1119"/>
      <c r="AX27" s="1119"/>
      <c r="AY27" s="1119"/>
      <c r="AZ27" s="1119"/>
      <c r="BA27" s="1119"/>
    </row>
    <row r="28" spans="18:53" ht="15" customHeight="1">
      <c r="R28" s="1119"/>
      <c r="S28" s="1119"/>
      <c r="T28" s="1119"/>
      <c r="U28" s="1119"/>
      <c r="V28" s="1119"/>
      <c r="W28" s="1119"/>
      <c r="X28" s="1119"/>
      <c r="Y28" s="1119"/>
      <c r="Z28" s="1119"/>
      <c r="AA28" s="1119"/>
      <c r="AB28" s="1119"/>
      <c r="AC28" s="1119"/>
      <c r="AD28" s="1119"/>
      <c r="AE28" s="1119"/>
      <c r="AF28" s="1119"/>
      <c r="AG28" s="1119"/>
      <c r="AH28" s="1119"/>
      <c r="AI28" s="1119"/>
      <c r="AJ28" s="1119"/>
      <c r="AK28" s="1119"/>
      <c r="AL28" s="1119"/>
      <c r="AM28" s="1119"/>
      <c r="AN28" s="1119"/>
      <c r="AO28" s="1119"/>
      <c r="AP28" s="1119"/>
      <c r="AQ28" s="1119"/>
      <c r="AR28" s="1119"/>
      <c r="AS28" s="1119"/>
      <c r="AT28" s="1119"/>
      <c r="AU28" s="1119"/>
      <c r="AV28" s="1119"/>
      <c r="AW28" s="1119"/>
      <c r="AX28" s="1119"/>
      <c r="AY28" s="1119"/>
      <c r="AZ28" s="1119"/>
      <c r="BA28" s="1119"/>
    </row>
    <row r="29" spans="18:53" ht="15" customHeight="1">
      <c r="R29" s="1119"/>
      <c r="S29" s="1119"/>
      <c r="T29" s="1119"/>
      <c r="U29" s="1119"/>
      <c r="V29" s="1119"/>
      <c r="W29" s="1119"/>
      <c r="X29" s="1119"/>
      <c r="Y29" s="1119"/>
      <c r="Z29" s="1119"/>
      <c r="AA29" s="1119"/>
      <c r="AB29" s="1119"/>
      <c r="AC29" s="1119"/>
      <c r="AD29" s="1119"/>
      <c r="AE29" s="1119"/>
      <c r="AF29" s="1119"/>
      <c r="AG29" s="1119"/>
      <c r="AH29" s="1119"/>
      <c r="AI29" s="1119"/>
      <c r="AJ29" s="1119"/>
      <c r="AK29" s="1119"/>
      <c r="AL29" s="1119"/>
      <c r="AM29" s="1119"/>
      <c r="AN29" s="1119"/>
      <c r="AO29" s="1119"/>
      <c r="AP29" s="1119"/>
      <c r="AQ29" s="1119"/>
      <c r="AR29" s="1119"/>
      <c r="AS29" s="1119"/>
      <c r="AT29" s="1119"/>
      <c r="AU29" s="1119"/>
      <c r="AV29" s="1119"/>
      <c r="AW29" s="1119"/>
      <c r="AX29" s="1119"/>
      <c r="AY29" s="1119"/>
      <c r="AZ29" s="1119"/>
      <c r="BA29" s="1119"/>
    </row>
    <row r="30" spans="18:53" ht="15" customHeight="1">
      <c r="R30" s="1119"/>
      <c r="S30" s="1119"/>
      <c r="T30" s="1119"/>
      <c r="U30" s="1119"/>
      <c r="V30" s="1119"/>
      <c r="W30" s="1119"/>
      <c r="X30" s="1119"/>
      <c r="Y30" s="1119"/>
      <c r="Z30" s="1119"/>
      <c r="AA30" s="1119"/>
      <c r="AB30" s="1119"/>
      <c r="AC30" s="1119"/>
      <c r="AD30" s="1119"/>
      <c r="AE30" s="1119"/>
      <c r="AF30" s="1119"/>
      <c r="AG30" s="1119"/>
      <c r="AH30" s="1119"/>
      <c r="AI30" s="1119"/>
      <c r="AJ30" s="1119"/>
      <c r="AK30" s="1119"/>
      <c r="AL30" s="1119"/>
      <c r="AM30" s="1119"/>
      <c r="AN30" s="1119"/>
      <c r="AO30" s="1119"/>
      <c r="AP30" s="1119"/>
      <c r="AQ30" s="1119"/>
      <c r="AR30" s="1119"/>
      <c r="AS30" s="1119"/>
      <c r="AT30" s="1119"/>
      <c r="AU30" s="1119"/>
      <c r="AV30" s="1119"/>
      <c r="AW30" s="1119"/>
      <c r="AX30" s="1119"/>
      <c r="AY30" s="1119"/>
      <c r="AZ30" s="1119"/>
      <c r="BA30" s="1119"/>
    </row>
    <row r="31" spans="18:53" ht="15" customHeight="1">
      <c r="R31" s="1119"/>
      <c r="S31" s="1119"/>
      <c r="T31" s="1119"/>
      <c r="U31" s="1119"/>
      <c r="V31" s="1119"/>
      <c r="W31" s="1119"/>
      <c r="X31" s="1119"/>
      <c r="Y31" s="1119"/>
      <c r="Z31" s="1119"/>
      <c r="AA31" s="1119"/>
      <c r="AB31" s="1119"/>
      <c r="AC31" s="1119"/>
      <c r="AD31" s="1119"/>
      <c r="AE31" s="1119"/>
      <c r="AF31" s="1119"/>
      <c r="AG31" s="1119"/>
      <c r="AH31" s="1119"/>
      <c r="AI31" s="1119"/>
      <c r="AJ31" s="1119"/>
      <c r="AK31" s="1119"/>
      <c r="AL31" s="1119"/>
      <c r="AM31" s="1119"/>
      <c r="AN31" s="1119"/>
      <c r="AO31" s="1119"/>
      <c r="AP31" s="1119"/>
      <c r="AQ31" s="1119"/>
      <c r="AR31" s="1119"/>
      <c r="AS31" s="1119"/>
      <c r="AT31" s="1119"/>
      <c r="AU31" s="1119"/>
      <c r="AV31" s="1119"/>
      <c r="AW31" s="1119"/>
      <c r="AX31" s="1119"/>
      <c r="AY31" s="1119"/>
      <c r="AZ31" s="1119"/>
      <c r="BA31" s="1119"/>
    </row>
    <row r="32" spans="18:53" ht="15" customHeight="1">
      <c r="R32" s="1119"/>
      <c r="S32" s="1119"/>
      <c r="T32" s="1119"/>
      <c r="U32" s="1119"/>
      <c r="V32" s="1119"/>
      <c r="W32" s="1119"/>
      <c r="X32" s="1119"/>
      <c r="Y32" s="1119"/>
      <c r="Z32" s="1119"/>
      <c r="AA32" s="1119"/>
      <c r="AB32" s="1119"/>
      <c r="AC32" s="1119"/>
      <c r="AD32" s="1119"/>
      <c r="AE32" s="1119"/>
      <c r="AF32" s="1119"/>
      <c r="AG32" s="1119"/>
      <c r="AH32" s="1119"/>
      <c r="AI32" s="1119"/>
      <c r="AJ32" s="1119"/>
      <c r="AK32" s="1119"/>
      <c r="AL32" s="1119"/>
      <c r="AM32" s="1119"/>
      <c r="AN32" s="1119"/>
      <c r="AO32" s="1119"/>
      <c r="AP32" s="1119"/>
      <c r="AQ32" s="1119"/>
      <c r="AR32" s="1119"/>
      <c r="AS32" s="1119"/>
      <c r="AT32" s="1119"/>
      <c r="AU32" s="1119"/>
      <c r="AV32" s="1119"/>
      <c r="AW32" s="1119"/>
      <c r="AX32" s="1119"/>
      <c r="AY32" s="1119"/>
      <c r="AZ32" s="1119"/>
      <c r="BA32" s="1119"/>
    </row>
    <row r="33" spans="9:53" ht="15" customHeight="1">
      <c r="R33" s="1119"/>
      <c r="S33" s="1119"/>
      <c r="T33" s="1119"/>
      <c r="U33" s="1119"/>
      <c r="V33" s="1119"/>
      <c r="W33" s="1119"/>
      <c r="X33" s="1119"/>
      <c r="Y33" s="1119"/>
      <c r="Z33" s="1119"/>
      <c r="AA33" s="1119"/>
      <c r="AB33" s="1119"/>
      <c r="AC33" s="1119"/>
      <c r="AD33" s="1119"/>
      <c r="AE33" s="1119"/>
      <c r="AF33" s="1119"/>
      <c r="AG33" s="1119"/>
      <c r="AH33" s="1119"/>
      <c r="AI33" s="1119"/>
      <c r="AJ33" s="1119"/>
      <c r="AK33" s="1119"/>
      <c r="AL33" s="1119"/>
      <c r="AM33" s="1119"/>
      <c r="AN33" s="1119"/>
      <c r="AO33" s="1119"/>
      <c r="AP33" s="1119"/>
      <c r="AQ33" s="1119"/>
      <c r="AR33" s="1119"/>
      <c r="AS33" s="1119"/>
      <c r="AT33" s="1119"/>
      <c r="AU33" s="1119"/>
      <c r="AV33" s="1119"/>
      <c r="AW33" s="1119"/>
      <c r="AX33" s="1119"/>
      <c r="AY33" s="1119"/>
      <c r="AZ33" s="1119"/>
      <c r="BA33" s="1119"/>
    </row>
    <row r="34" spans="9:53" ht="15" customHeight="1">
      <c r="R34" s="1119"/>
      <c r="S34" s="1119"/>
      <c r="T34" s="1119"/>
      <c r="U34" s="1119"/>
      <c r="V34" s="1119"/>
      <c r="W34" s="1119"/>
      <c r="X34" s="1119"/>
      <c r="Y34" s="1119"/>
      <c r="Z34" s="1119"/>
      <c r="AA34" s="1119"/>
      <c r="AB34" s="1119"/>
      <c r="AC34" s="1119"/>
      <c r="AD34" s="1119"/>
      <c r="AE34" s="1119"/>
      <c r="AF34" s="1119"/>
      <c r="AG34" s="1119"/>
      <c r="AH34" s="1119"/>
      <c r="AI34" s="1119"/>
      <c r="AJ34" s="1119"/>
      <c r="AK34" s="1119"/>
      <c r="AL34" s="1119"/>
      <c r="AM34" s="1119"/>
      <c r="AN34" s="1119"/>
      <c r="AO34" s="1119"/>
      <c r="AP34" s="1119"/>
      <c r="AQ34" s="1119"/>
      <c r="AR34" s="1119"/>
      <c r="AS34" s="1119"/>
      <c r="AT34" s="1119"/>
      <c r="AU34" s="1119"/>
      <c r="AV34" s="1119"/>
      <c r="AW34" s="1119"/>
      <c r="AX34" s="1119"/>
      <c r="AY34" s="1119"/>
      <c r="AZ34" s="1119"/>
      <c r="BA34" s="1119"/>
    </row>
    <row r="35" spans="9:53" ht="15" customHeight="1">
      <c r="R35" s="1119"/>
      <c r="S35" s="1119"/>
      <c r="U35" s="1119"/>
      <c r="V35" s="1119"/>
      <c r="W35" s="1119"/>
      <c r="X35" s="1119"/>
      <c r="Y35" s="1119"/>
      <c r="Z35" s="1119"/>
      <c r="AA35" s="1119"/>
      <c r="AB35" s="1119"/>
      <c r="AC35" s="1119"/>
      <c r="AD35" s="1119"/>
      <c r="AE35" s="1119"/>
      <c r="AF35" s="1119"/>
      <c r="AG35" s="1119"/>
      <c r="AH35" s="1119"/>
      <c r="AI35" s="1119"/>
      <c r="AJ35" s="1119"/>
      <c r="AK35" s="1119"/>
      <c r="AL35" s="1119"/>
      <c r="AM35" s="1119"/>
      <c r="AN35" s="1119"/>
      <c r="AO35" s="1119"/>
      <c r="AP35" s="1119"/>
      <c r="AQ35" s="1119"/>
      <c r="AR35" s="1119"/>
      <c r="AS35" s="1119"/>
      <c r="AT35" s="1119"/>
      <c r="AU35" s="1119"/>
      <c r="AV35" s="1119"/>
      <c r="AW35" s="1119"/>
      <c r="AX35" s="1119"/>
      <c r="AY35" s="1119"/>
      <c r="AZ35" s="1119"/>
      <c r="BA35" s="1119"/>
    </row>
    <row r="36" spans="9:53" ht="15" customHeight="1">
      <c r="R36" s="1119"/>
      <c r="S36" s="1119"/>
      <c r="T36" s="1119"/>
      <c r="U36" s="1119"/>
      <c r="V36" s="1119"/>
      <c r="W36" s="1119"/>
      <c r="X36" s="1119"/>
      <c r="Y36" s="1119"/>
      <c r="Z36" s="1119"/>
      <c r="AA36" s="1119"/>
      <c r="AB36" s="1119"/>
      <c r="AC36" s="1119"/>
      <c r="AD36" s="1119"/>
      <c r="AE36" s="1119"/>
      <c r="AF36" s="1119"/>
      <c r="AG36" s="1119"/>
      <c r="AH36" s="1119"/>
      <c r="AI36" s="1119"/>
      <c r="AJ36" s="1119"/>
      <c r="AK36" s="1119"/>
      <c r="AL36" s="1119"/>
      <c r="AM36" s="1119"/>
      <c r="AN36" s="1119"/>
      <c r="AO36" s="1119"/>
      <c r="AP36" s="1119"/>
      <c r="AQ36" s="1119"/>
      <c r="AR36" s="1119"/>
      <c r="AS36" s="1119"/>
      <c r="AT36" s="1119"/>
      <c r="AU36" s="1119"/>
      <c r="AV36" s="1119"/>
      <c r="AW36" s="1119"/>
      <c r="AX36" s="1119"/>
      <c r="AY36" s="1119"/>
      <c r="AZ36" s="1119"/>
      <c r="BA36" s="1119"/>
    </row>
    <row r="37" spans="9:53" ht="15" customHeight="1">
      <c r="I37" s="1119"/>
      <c r="J37" s="1119"/>
      <c r="K37" s="1119"/>
      <c r="L37" s="1119"/>
      <c r="M37" s="1119"/>
      <c r="N37" s="1119"/>
      <c r="O37" s="1119"/>
      <c r="R37" s="1119"/>
      <c r="S37" s="1119"/>
      <c r="T37" s="1119"/>
      <c r="U37" s="1119"/>
      <c r="V37" s="1119"/>
      <c r="W37" s="1119"/>
      <c r="X37" s="1119"/>
      <c r="Y37" s="1119"/>
      <c r="Z37" s="1119"/>
      <c r="AA37" s="1119"/>
      <c r="AB37" s="1119"/>
      <c r="AC37" s="1119"/>
      <c r="AD37" s="1119"/>
      <c r="AE37" s="1119"/>
      <c r="AF37" s="1119"/>
      <c r="AG37" s="1119"/>
      <c r="AH37" s="1119"/>
      <c r="AI37" s="1119"/>
      <c r="AJ37" s="1119"/>
      <c r="AK37" s="1119"/>
      <c r="AL37" s="1119"/>
      <c r="AM37" s="1119"/>
      <c r="AN37" s="1119"/>
      <c r="AO37" s="1119"/>
      <c r="AP37" s="1119"/>
      <c r="AQ37" s="1119"/>
      <c r="AR37" s="1119"/>
      <c r="AS37" s="1119"/>
      <c r="AT37" s="1119"/>
      <c r="AU37" s="1119"/>
      <c r="AV37" s="1119"/>
      <c r="AW37" s="1119"/>
      <c r="AX37" s="1119"/>
      <c r="AY37" s="1119"/>
      <c r="AZ37" s="1119"/>
      <c r="BA37" s="1119"/>
    </row>
    <row r="38" spans="9:53" ht="15" customHeight="1">
      <c r="I38" s="1118"/>
      <c r="J38" s="1119"/>
      <c r="K38" s="1119"/>
      <c r="L38" s="1119"/>
      <c r="M38" s="1119"/>
      <c r="N38" s="1119"/>
      <c r="O38" s="1119"/>
      <c r="R38" s="1119"/>
      <c r="S38" s="1119"/>
      <c r="T38" s="1119"/>
      <c r="U38" s="1119"/>
      <c r="V38" s="1119"/>
      <c r="W38" s="1119"/>
      <c r="X38" s="1119"/>
      <c r="Y38" s="1119"/>
      <c r="Z38" s="1119"/>
      <c r="AA38" s="1119"/>
      <c r="AB38" s="1119"/>
      <c r="AC38" s="1119"/>
      <c r="AD38" s="1119"/>
      <c r="AE38" s="1119"/>
      <c r="AF38" s="1119"/>
      <c r="AG38" s="1119"/>
      <c r="AH38" s="1119"/>
      <c r="AI38" s="1119"/>
      <c r="AJ38" s="1119"/>
      <c r="AK38" s="1119"/>
      <c r="AL38" s="1119"/>
      <c r="AM38" s="1119"/>
      <c r="AN38" s="1119"/>
      <c r="AO38" s="1119"/>
      <c r="AP38" s="1119"/>
      <c r="AQ38" s="1119"/>
      <c r="AR38" s="1119"/>
      <c r="AS38" s="1119"/>
      <c r="AT38" s="1119"/>
      <c r="AU38" s="1119"/>
      <c r="AV38" s="1119"/>
      <c r="AW38" s="1119"/>
      <c r="AX38" s="1119"/>
      <c r="AY38" s="1119"/>
      <c r="AZ38" s="1119"/>
      <c r="BA38" s="1119"/>
    </row>
    <row r="39" spans="9:53" ht="15" customHeight="1">
      <c r="I39" s="1118"/>
      <c r="J39" s="1119"/>
      <c r="K39" s="1119"/>
      <c r="L39" s="1119"/>
      <c r="M39" s="1119"/>
      <c r="N39" s="1119"/>
      <c r="O39" s="1119"/>
    </row>
    <row r="40" spans="9:53" ht="15" customHeight="1">
      <c r="I40" s="1118"/>
      <c r="J40" s="1119"/>
      <c r="K40" s="1119"/>
      <c r="L40" s="1119"/>
      <c r="M40" s="1119"/>
      <c r="N40" s="1119"/>
      <c r="O40" s="1119"/>
    </row>
    <row r="41" spans="9:53" ht="15" customHeight="1">
      <c r="I41" s="1119"/>
      <c r="J41" s="1119"/>
      <c r="K41" s="1119"/>
      <c r="L41" s="1119"/>
      <c r="M41" s="1119"/>
      <c r="N41" s="1119"/>
      <c r="O41" s="1119"/>
    </row>
    <row r="42" spans="9:53" ht="15" customHeight="1">
      <c r="I42" s="1119"/>
      <c r="J42" s="1119"/>
      <c r="K42" s="1119"/>
      <c r="L42" s="1119"/>
      <c r="M42" s="1119"/>
      <c r="N42" s="1119"/>
      <c r="O42" s="1119"/>
    </row>
    <row r="43" spans="9:53" ht="15" customHeight="1">
      <c r="I43" s="1119"/>
      <c r="J43" s="1119"/>
      <c r="K43" s="1119"/>
      <c r="L43" s="1119"/>
      <c r="M43" s="1119"/>
      <c r="N43" s="1119"/>
      <c r="O43" s="1119"/>
    </row>
    <row r="44" spans="9:53" ht="15" customHeight="1">
      <c r="I44" s="1119"/>
      <c r="J44" s="1119"/>
      <c r="K44" s="1119"/>
      <c r="L44" s="1119"/>
      <c r="M44" s="1119"/>
      <c r="N44" s="1119"/>
      <c r="O44" s="1119"/>
    </row>
    <row r="45" spans="9:53" ht="15" customHeight="1">
      <c r="I45" s="1119"/>
      <c r="J45" s="1119"/>
      <c r="K45" s="1119"/>
      <c r="L45" s="1119"/>
      <c r="M45" s="1119"/>
      <c r="N45" s="1119"/>
      <c r="O45" s="1119"/>
    </row>
    <row r="55" spans="1:7" ht="15" customHeight="1">
      <c r="A55" s="1119"/>
    </row>
    <row r="56" spans="1:7" ht="15" customHeight="1">
      <c r="A56" s="1119"/>
      <c r="B56" s="1161"/>
      <c r="C56" s="1161"/>
      <c r="D56" s="1161"/>
      <c r="E56" s="1161"/>
      <c r="F56" s="1161"/>
      <c r="G56" s="1161"/>
    </row>
    <row r="57" spans="1:7" ht="15" customHeight="1">
      <c r="A57" s="1119"/>
      <c r="B57" s="1122"/>
      <c r="C57" s="1122"/>
      <c r="D57" s="1122"/>
      <c r="E57" s="1122"/>
      <c r="F57" s="1122"/>
      <c r="G57" s="1162"/>
    </row>
    <row r="58" spans="1:7" ht="15" customHeight="1">
      <c r="A58" s="1119"/>
      <c r="B58" s="1122"/>
      <c r="C58" s="1122"/>
      <c r="D58" s="1122"/>
      <c r="E58" s="1122"/>
      <c r="F58" s="1122"/>
      <c r="G58" s="1162"/>
    </row>
    <row r="59" spans="1:7" ht="15" customHeight="1">
      <c r="B59" s="1163"/>
      <c r="C59" s="1161"/>
      <c r="D59" s="1161"/>
      <c r="E59" s="1161"/>
      <c r="F59" s="1161"/>
      <c r="G59" s="1162"/>
    </row>
    <row r="60" spans="1:7" ht="15" customHeight="1">
      <c r="B60" s="1163"/>
      <c r="C60" s="1164"/>
      <c r="D60" s="1161"/>
      <c r="E60" s="1161"/>
      <c r="F60" s="1161"/>
      <c r="G60" s="1162"/>
    </row>
    <row r="61" spans="1:7" ht="15" customHeight="1">
      <c r="B61" s="1161"/>
      <c r="C61" s="1161"/>
      <c r="D61" s="1164"/>
      <c r="E61" s="1161"/>
      <c r="F61" s="1161"/>
      <c r="G61" s="1161"/>
    </row>
    <row r="62" spans="1:7" ht="15" customHeight="1">
      <c r="B62" s="1161"/>
      <c r="C62" s="1161"/>
      <c r="D62" s="1161"/>
      <c r="E62" s="1161"/>
      <c r="F62" s="1161"/>
      <c r="G62" s="1161"/>
    </row>
    <row r="63" spans="1:7" ht="15" customHeight="1">
      <c r="B63" s="1163"/>
      <c r="C63" s="1161"/>
      <c r="D63" s="1161"/>
      <c r="E63" s="1161"/>
      <c r="F63" s="1161"/>
      <c r="G63" s="1161"/>
    </row>
    <row r="64" spans="1:7" ht="15" customHeight="1">
      <c r="B64" s="1163"/>
      <c r="C64" s="1161"/>
      <c r="D64" s="1161"/>
      <c r="E64" s="1161"/>
      <c r="F64" s="1161"/>
      <c r="G64" s="1161"/>
    </row>
    <row r="65" spans="2:7" ht="15" customHeight="1">
      <c r="B65" s="1161"/>
      <c r="C65" s="1161"/>
      <c r="D65" s="1161"/>
      <c r="E65" s="1161"/>
      <c r="F65" s="1161"/>
      <c r="G65" s="1161"/>
    </row>
    <row r="66" spans="2:7" ht="15" customHeight="1">
      <c r="B66" s="1161"/>
      <c r="C66" s="1161"/>
      <c r="D66" s="1161"/>
      <c r="E66" s="1161"/>
      <c r="F66" s="1161"/>
      <c r="G66" s="1161"/>
    </row>
    <row r="67" spans="2:7" ht="15" customHeight="1">
      <c r="B67" s="1161"/>
      <c r="C67" s="1161"/>
      <c r="D67" s="1161"/>
      <c r="E67" s="1161"/>
      <c r="F67" s="1161"/>
      <c r="G67" s="1161"/>
    </row>
    <row r="68" spans="2:7" ht="15" customHeight="1">
      <c r="B68" s="1161"/>
      <c r="C68" s="1161"/>
      <c r="D68" s="1161"/>
      <c r="E68" s="1161"/>
      <c r="F68" s="1161"/>
      <c r="G68" s="1161"/>
    </row>
    <row r="69" spans="2:7" ht="15" customHeight="1">
      <c r="B69" s="1161"/>
      <c r="C69" s="1161"/>
      <c r="D69" s="1161"/>
      <c r="E69" s="1161"/>
      <c r="F69" s="1161"/>
      <c r="G69" s="1161"/>
    </row>
    <row r="70" spans="2:7" ht="15" customHeight="1">
      <c r="B70" s="1161"/>
      <c r="C70" s="1161"/>
      <c r="D70" s="1161"/>
      <c r="E70" s="1161"/>
      <c r="F70" s="1161"/>
      <c r="G70" s="1161"/>
    </row>
    <row r="71" spans="2:7" ht="15" customHeight="1">
      <c r="B71" s="1161"/>
      <c r="C71" s="1161"/>
      <c r="D71" s="1161"/>
      <c r="E71" s="1161"/>
      <c r="F71" s="1161"/>
      <c r="G71" s="1161"/>
    </row>
    <row r="72" spans="2:7" ht="15" customHeight="1">
      <c r="B72" s="1161"/>
      <c r="C72" s="1161"/>
      <c r="D72" s="1161"/>
      <c r="E72" s="1161"/>
      <c r="F72" s="1161"/>
      <c r="G72" s="1161"/>
    </row>
    <row r="73" spans="2:7" ht="15" customHeight="1">
      <c r="B73" s="1161"/>
      <c r="C73" s="1161"/>
      <c r="D73" s="1161"/>
      <c r="E73" s="1161"/>
      <c r="F73" s="1161"/>
      <c r="G73" s="1161"/>
    </row>
    <row r="74" spans="2:7" ht="15" customHeight="1">
      <c r="B74" s="1161"/>
      <c r="C74" s="1161"/>
      <c r="D74" s="1161"/>
      <c r="E74" s="1161"/>
      <c r="F74" s="1161"/>
      <c r="G74" s="1161"/>
    </row>
    <row r="75" spans="2:7" ht="15" customHeight="1">
      <c r="B75" s="1161"/>
      <c r="C75" s="1161"/>
      <c r="D75" s="1161"/>
      <c r="E75" s="1161"/>
      <c r="F75" s="1161"/>
      <c r="G75" s="1161"/>
    </row>
    <row r="76" spans="2:7" ht="15" customHeight="1">
      <c r="B76" s="1161"/>
      <c r="C76" s="1161"/>
      <c r="D76" s="1161"/>
      <c r="E76" s="1161"/>
      <c r="F76" s="1161"/>
      <c r="G76" s="1161"/>
    </row>
    <row r="77" spans="2:7" ht="15" customHeight="1">
      <c r="B77" s="1161"/>
      <c r="C77" s="1161"/>
      <c r="D77" s="1161"/>
      <c r="E77" s="1161"/>
      <c r="F77" s="1161"/>
      <c r="G77" s="1161"/>
    </row>
    <row r="78" spans="2:7" ht="15" customHeight="1">
      <c r="B78" s="1161"/>
      <c r="C78" s="1161"/>
      <c r="D78" s="1161"/>
      <c r="E78" s="1161"/>
      <c r="F78" s="1161"/>
      <c r="G78" s="1161"/>
    </row>
    <row r="79" spans="2:7" ht="15" customHeight="1">
      <c r="B79" s="1161"/>
      <c r="C79" s="1161"/>
      <c r="D79" s="1161"/>
      <c r="E79" s="1161"/>
      <c r="F79" s="1161"/>
      <c r="G79" s="1161"/>
    </row>
    <row r="80" spans="2:7" ht="15" customHeight="1">
      <c r="B80" s="1161"/>
      <c r="C80" s="1161"/>
      <c r="D80" s="1161"/>
      <c r="E80" s="1161"/>
      <c r="F80" s="1161"/>
      <c r="G80" s="1161"/>
    </row>
    <row r="81" spans="2:7" ht="15" customHeight="1">
      <c r="B81" s="1161"/>
      <c r="C81" s="1161"/>
      <c r="D81" s="1161"/>
      <c r="E81" s="1161"/>
      <c r="F81" s="1161"/>
      <c r="G81" s="1161"/>
    </row>
    <row r="82" spans="2:7" ht="15" customHeight="1">
      <c r="B82" s="1161"/>
      <c r="C82" s="1161"/>
      <c r="D82" s="1161"/>
      <c r="E82" s="1161"/>
      <c r="F82" s="1161"/>
      <c r="G82" s="1161"/>
    </row>
    <row r="83" spans="2:7" ht="15" customHeight="1">
      <c r="B83" s="1161"/>
      <c r="C83" s="1161"/>
      <c r="D83" s="1161"/>
      <c r="E83" s="1161"/>
      <c r="F83" s="1161"/>
      <c r="G83" s="1161"/>
    </row>
    <row r="84" spans="2:7" ht="15" customHeight="1">
      <c r="B84" s="1161"/>
      <c r="C84" s="1161"/>
      <c r="D84" s="1161"/>
      <c r="E84" s="1161"/>
      <c r="F84" s="1161"/>
      <c r="G84" s="1161"/>
    </row>
    <row r="85" spans="2:7" ht="15" customHeight="1">
      <c r="B85" s="1161"/>
      <c r="C85" s="1161"/>
      <c r="D85" s="1161"/>
      <c r="E85" s="1161"/>
      <c r="F85" s="1161"/>
      <c r="G85" s="1161"/>
    </row>
    <row r="86" spans="2:7" ht="15" customHeight="1">
      <c r="B86" s="1161"/>
      <c r="C86" s="1161"/>
      <c r="D86" s="1161"/>
      <c r="E86" s="1161"/>
      <c r="F86" s="1161"/>
      <c r="G86" s="1161"/>
    </row>
    <row r="87" spans="2:7" ht="15" customHeight="1">
      <c r="B87" s="1161"/>
      <c r="C87" s="1161"/>
      <c r="D87" s="1161"/>
      <c r="E87" s="1161"/>
      <c r="F87" s="1161"/>
      <c r="G87" s="1161"/>
    </row>
    <row r="88" spans="2:7" ht="15" customHeight="1">
      <c r="B88" s="1161"/>
      <c r="C88" s="1161"/>
      <c r="D88" s="1161"/>
      <c r="E88" s="1161"/>
      <c r="F88" s="1161"/>
      <c r="G88" s="1161"/>
    </row>
    <row r="89" spans="2:7" ht="15" customHeight="1">
      <c r="B89" s="1161"/>
      <c r="C89" s="1161"/>
      <c r="D89" s="1161"/>
      <c r="E89" s="1161"/>
      <c r="F89" s="1161"/>
      <c r="G89" s="1161"/>
    </row>
    <row r="90" spans="2:7" ht="15" customHeight="1">
      <c r="B90" s="1161"/>
      <c r="C90" s="1161"/>
      <c r="D90" s="1161"/>
      <c r="E90" s="1161"/>
      <c r="F90" s="1161"/>
      <c r="G90" s="1161"/>
    </row>
    <row r="91" spans="2:7" ht="15" customHeight="1">
      <c r="B91" s="1161"/>
      <c r="C91" s="1161"/>
      <c r="D91" s="1161"/>
      <c r="E91" s="1161"/>
      <c r="F91" s="1161"/>
      <c r="G91" s="1161"/>
    </row>
    <row r="92" spans="2:7" ht="15" customHeight="1">
      <c r="B92" s="1161"/>
      <c r="C92" s="1161"/>
      <c r="D92" s="1161"/>
      <c r="E92" s="1161"/>
      <c r="F92" s="1161"/>
      <c r="G92" s="1161"/>
    </row>
    <row r="93" spans="2:7" ht="15" customHeight="1">
      <c r="B93" s="1161"/>
      <c r="C93" s="1161"/>
      <c r="D93" s="1161"/>
      <c r="E93" s="1161"/>
      <c r="F93" s="1161"/>
      <c r="G93" s="1161"/>
    </row>
    <row r="94" spans="2:7" ht="15" customHeight="1">
      <c r="B94" s="1161"/>
      <c r="C94" s="1161"/>
      <c r="D94" s="1161"/>
      <c r="E94" s="1161"/>
      <c r="F94" s="1161"/>
      <c r="G94" s="1161"/>
    </row>
    <row r="95" spans="2:7" ht="15" customHeight="1">
      <c r="B95" s="1161"/>
      <c r="C95" s="1161"/>
      <c r="D95" s="1161"/>
      <c r="E95" s="1161"/>
      <c r="F95" s="1161"/>
      <c r="G95" s="1161"/>
    </row>
    <row r="96" spans="2:7" ht="15" customHeight="1">
      <c r="B96" s="1161"/>
      <c r="C96" s="1161"/>
      <c r="D96" s="1161"/>
      <c r="E96" s="1161"/>
      <c r="F96" s="1161"/>
      <c r="G96" s="1161"/>
    </row>
    <row r="97" spans="2:7" ht="15" customHeight="1">
      <c r="B97" s="1161"/>
      <c r="C97" s="1161"/>
      <c r="D97" s="1161"/>
      <c r="E97" s="1161"/>
      <c r="F97" s="1161"/>
      <c r="G97" s="1161"/>
    </row>
    <row r="98" spans="2:7" ht="15" customHeight="1">
      <c r="B98" s="1161"/>
      <c r="C98" s="1161"/>
      <c r="D98" s="1161"/>
      <c r="E98" s="1161"/>
      <c r="F98" s="1161"/>
      <c r="G98" s="1161"/>
    </row>
    <row r="99" spans="2:7" ht="15" customHeight="1">
      <c r="B99" s="1161"/>
      <c r="C99" s="1161"/>
      <c r="D99" s="1161"/>
      <c r="E99" s="1161"/>
      <c r="F99" s="1161"/>
      <c r="G99" s="1161"/>
    </row>
    <row r="100" spans="2:7" ht="15" customHeight="1">
      <c r="B100" s="1161"/>
      <c r="C100" s="1161"/>
      <c r="D100" s="1161"/>
      <c r="E100" s="1161"/>
      <c r="F100" s="1161"/>
      <c r="G100" s="1161"/>
    </row>
    <row r="101" spans="2:7" ht="15" customHeight="1">
      <c r="B101" s="1161"/>
      <c r="C101" s="1161"/>
      <c r="D101" s="1161"/>
      <c r="E101" s="1161"/>
      <c r="F101" s="1161"/>
      <c r="G101" s="1161"/>
    </row>
    <row r="102" spans="2:7" ht="15" customHeight="1">
      <c r="B102" s="1161"/>
      <c r="C102" s="1161"/>
      <c r="D102" s="1161"/>
      <c r="E102" s="1161"/>
      <c r="F102" s="1161"/>
      <c r="G102" s="1161"/>
    </row>
    <row r="103" spans="2:7" ht="15" customHeight="1">
      <c r="B103" s="1161"/>
      <c r="C103" s="1161"/>
      <c r="D103" s="1161"/>
      <c r="E103" s="1161"/>
      <c r="F103" s="1161"/>
      <c r="G103" s="1161"/>
    </row>
    <row r="104" spans="2:7" ht="15" customHeight="1">
      <c r="B104" s="1161"/>
      <c r="C104" s="1161"/>
      <c r="D104" s="1161"/>
      <c r="E104" s="1161"/>
      <c r="F104" s="1161"/>
      <c r="G104" s="1161"/>
    </row>
    <row r="105" spans="2:7" ht="15" customHeight="1">
      <c r="B105" s="1161"/>
      <c r="C105" s="1161"/>
      <c r="D105" s="1161"/>
      <c r="E105" s="1161"/>
      <c r="F105" s="1161"/>
      <c r="G105" s="1161"/>
    </row>
    <row r="106" spans="2:7" ht="15" customHeight="1">
      <c r="B106" s="1161"/>
      <c r="C106" s="1161"/>
      <c r="D106" s="1161"/>
      <c r="E106" s="1161"/>
      <c r="F106" s="1161"/>
      <c r="G106" s="1161"/>
    </row>
    <row r="107" spans="2:7" ht="15" customHeight="1">
      <c r="B107" s="1161"/>
      <c r="C107" s="1161"/>
      <c r="D107" s="1161"/>
      <c r="E107" s="1161"/>
      <c r="F107" s="1161"/>
      <c r="G107" s="1161"/>
    </row>
    <row r="108" spans="2:7" ht="15" customHeight="1">
      <c r="B108" s="1161"/>
      <c r="C108" s="1161"/>
      <c r="D108" s="1161"/>
      <c r="E108" s="1161"/>
      <c r="F108" s="1161"/>
      <c r="G108" s="1161"/>
    </row>
    <row r="109" spans="2:7" ht="15" customHeight="1">
      <c r="B109" s="1161"/>
      <c r="C109" s="1161"/>
      <c r="D109" s="1161"/>
      <c r="E109" s="1161"/>
      <c r="F109" s="1161"/>
      <c r="G109" s="1161"/>
    </row>
    <row r="110" spans="2:7" ht="15" customHeight="1">
      <c r="B110" s="1161"/>
      <c r="C110" s="1161"/>
      <c r="D110" s="1161"/>
      <c r="E110" s="1161"/>
      <c r="F110" s="1161"/>
      <c r="G110" s="1161"/>
    </row>
    <row r="111" spans="2:7" ht="15" customHeight="1">
      <c r="B111" s="1161"/>
      <c r="C111" s="1161"/>
      <c r="D111" s="1161"/>
      <c r="E111" s="1161"/>
      <c r="F111" s="1161"/>
      <c r="G111" s="1161"/>
    </row>
    <row r="112" spans="2:7" ht="15" customHeight="1">
      <c r="B112" s="1161"/>
      <c r="C112" s="1161"/>
      <c r="D112" s="1161"/>
      <c r="E112" s="1161"/>
      <c r="F112" s="1161"/>
      <c r="G112" s="1161"/>
    </row>
    <row r="113" spans="2:7" ht="15" customHeight="1">
      <c r="B113" s="1161"/>
      <c r="C113" s="1161"/>
      <c r="D113" s="1161"/>
      <c r="E113" s="1161"/>
      <c r="F113" s="1161"/>
      <c r="G113" s="1161"/>
    </row>
    <row r="114" spans="2:7" ht="15" customHeight="1">
      <c r="B114" s="1161"/>
      <c r="C114" s="1161"/>
      <c r="D114" s="1161"/>
      <c r="E114" s="1161"/>
      <c r="F114" s="1161"/>
      <c r="G114" s="1161"/>
    </row>
    <row r="115" spans="2:7" ht="15" customHeight="1">
      <c r="B115" s="1161"/>
      <c r="C115" s="1161"/>
      <c r="D115" s="1161"/>
      <c r="E115" s="1161"/>
      <c r="F115" s="1161"/>
      <c r="G115" s="1161"/>
    </row>
    <row r="116" spans="2:7" ht="15" customHeight="1">
      <c r="B116" s="1161"/>
      <c r="C116" s="1161"/>
      <c r="D116" s="1161"/>
      <c r="E116" s="1161"/>
      <c r="F116" s="1161"/>
      <c r="G116" s="1161"/>
    </row>
    <row r="117" spans="2:7" ht="15" customHeight="1">
      <c r="B117" s="1161"/>
      <c r="C117" s="1161"/>
      <c r="D117" s="1161"/>
      <c r="E117" s="1161"/>
      <c r="F117" s="1161"/>
      <c r="G117" s="1161"/>
    </row>
    <row r="118" spans="2:7" ht="15" customHeight="1">
      <c r="B118" s="1161"/>
      <c r="C118" s="1161"/>
      <c r="D118" s="1161"/>
      <c r="E118" s="1161"/>
      <c r="F118" s="1161"/>
      <c r="G118" s="1161"/>
    </row>
    <row r="119" spans="2:7" ht="15" customHeight="1">
      <c r="B119" s="1161"/>
      <c r="C119" s="1161"/>
      <c r="D119" s="1161"/>
      <c r="E119" s="1161"/>
      <c r="F119" s="1161"/>
      <c r="G119" s="1161"/>
    </row>
    <row r="120" spans="2:7" ht="15" customHeight="1">
      <c r="B120" s="1161"/>
      <c r="C120" s="1161"/>
      <c r="D120" s="1161"/>
      <c r="E120" s="1161"/>
      <c r="F120" s="1161"/>
      <c r="G120" s="1161"/>
    </row>
    <row r="121" spans="2:7" ht="15" customHeight="1">
      <c r="B121" s="1161"/>
      <c r="C121" s="1161"/>
      <c r="D121" s="1161"/>
      <c r="E121" s="1161"/>
      <c r="F121" s="1161"/>
      <c r="G121" s="1161"/>
    </row>
    <row r="122" spans="2:7" ht="15" customHeight="1">
      <c r="B122" s="1161"/>
      <c r="C122" s="1161"/>
      <c r="D122" s="1161"/>
      <c r="E122" s="1161"/>
      <c r="F122" s="1161"/>
      <c r="G122" s="1161"/>
    </row>
    <row r="123" spans="2:7" ht="15" customHeight="1">
      <c r="B123" s="1161"/>
      <c r="C123" s="1161"/>
      <c r="D123" s="1161"/>
      <c r="E123" s="1161"/>
      <c r="F123" s="1161"/>
      <c r="G123" s="1161"/>
    </row>
    <row r="124" spans="2:7" ht="15" customHeight="1">
      <c r="B124" s="1161"/>
      <c r="C124" s="1161"/>
      <c r="D124" s="1161"/>
      <c r="E124" s="1161"/>
      <c r="F124" s="1161"/>
      <c r="G124" s="1161"/>
    </row>
    <row r="125" spans="2:7" ht="15" customHeight="1">
      <c r="B125" s="1161"/>
      <c r="C125" s="1161"/>
      <c r="D125" s="1161"/>
      <c r="E125" s="1161"/>
      <c r="F125" s="1161"/>
      <c r="G125" s="1161"/>
    </row>
    <row r="126" spans="2:7" ht="15" customHeight="1">
      <c r="B126" s="1161"/>
      <c r="C126" s="1161"/>
      <c r="D126" s="1161"/>
      <c r="E126" s="1161"/>
      <c r="F126" s="1161"/>
      <c r="G126" s="1161"/>
    </row>
    <row r="127" spans="2:7" ht="15" customHeight="1">
      <c r="B127" s="1161"/>
      <c r="C127" s="1161"/>
      <c r="D127" s="1161"/>
      <c r="E127" s="1161"/>
      <c r="F127" s="1161"/>
      <c r="G127" s="1161"/>
    </row>
    <row r="128" spans="2:7" ht="15" customHeight="1">
      <c r="B128" s="1161"/>
      <c r="C128" s="1161"/>
      <c r="D128" s="1161"/>
      <c r="E128" s="1161"/>
      <c r="F128" s="1161"/>
      <c r="G128" s="1161"/>
    </row>
    <row r="129" spans="2:7" ht="15" customHeight="1">
      <c r="B129" s="1161"/>
      <c r="C129" s="1161"/>
      <c r="D129" s="1161"/>
      <c r="E129" s="1161"/>
      <c r="F129" s="1161"/>
      <c r="G129" s="1161"/>
    </row>
  </sheetData>
  <phoneticPr fontId="0"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92D050"/>
  </sheetPr>
  <dimension ref="B4:W107"/>
  <sheetViews>
    <sheetView zoomScale="90" zoomScaleNormal="90" workbookViewId="0"/>
  </sheetViews>
  <sheetFormatPr baseColWidth="10" defaultColWidth="9.140625" defaultRowHeight="15"/>
  <cols>
    <col min="1" max="1" width="3.7109375" style="1117" customWidth="1"/>
    <col min="2" max="16384" width="9.140625" style="1117"/>
  </cols>
  <sheetData>
    <row r="4" spans="2:15" ht="23.25">
      <c r="B4" s="1619" t="s">
        <v>1845</v>
      </c>
      <c r="D4" s="1619" t="s">
        <v>1916</v>
      </c>
      <c r="M4" s="1619"/>
    </row>
    <row r="9" spans="2:15" ht="15.75">
      <c r="O9" s="1974" t="s">
        <v>1917</v>
      </c>
    </row>
    <row r="30" spans="2:13" ht="23.25">
      <c r="B30" s="1620" t="s">
        <v>1848</v>
      </c>
      <c r="M30" s="1620" t="s">
        <v>1844</v>
      </c>
    </row>
    <row r="56" spans="2:13" s="1152" customFormat="1" ht="23.25">
      <c r="B56" s="1582" t="s">
        <v>1846</v>
      </c>
      <c r="D56" s="1528"/>
      <c r="E56" s="1528"/>
      <c r="F56" s="1528"/>
      <c r="G56" s="1528"/>
      <c r="H56" s="1528"/>
      <c r="I56" s="1528"/>
      <c r="M56" s="1582" t="s">
        <v>1847</v>
      </c>
    </row>
    <row r="107" spans="23:23" ht="15.75">
      <c r="W107" s="1143"/>
    </row>
  </sheetData>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FF0000"/>
  </sheetPr>
  <dimension ref="B2:E30"/>
  <sheetViews>
    <sheetView zoomScale="90" zoomScaleNormal="90" workbookViewId="0"/>
  </sheetViews>
  <sheetFormatPr baseColWidth="10" defaultColWidth="9.140625" defaultRowHeight="15"/>
  <cols>
    <col min="1" max="1" width="3.7109375" style="1117" customWidth="1"/>
    <col min="2" max="16384" width="9.140625" style="1117"/>
  </cols>
  <sheetData>
    <row r="2" spans="2:2" ht="21">
      <c r="B2" s="1153"/>
    </row>
    <row r="5" spans="2:2" ht="23.25">
      <c r="B5" s="1129" t="s">
        <v>1887</v>
      </c>
    </row>
    <row r="30" spans="5:5">
      <c r="E30" s="1117" t="s">
        <v>1859</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9" tint="0.59999389629810485"/>
    <pageSetUpPr fitToPage="1"/>
  </sheetPr>
  <dimension ref="A1:AA80"/>
  <sheetViews>
    <sheetView zoomScale="90" zoomScaleNormal="90" zoomScaleSheetLayoutView="100" workbookViewId="0"/>
  </sheetViews>
  <sheetFormatPr baseColWidth="10" defaultColWidth="9" defaultRowHeight="15" customHeight="1"/>
  <cols>
    <col min="1" max="1" width="3.7109375" style="1166" customWidth="1"/>
    <col min="2" max="2" width="9" style="1166"/>
    <col min="3" max="3" width="16.5703125" style="1166" customWidth="1"/>
    <col min="4" max="16" width="9" style="1166"/>
    <col min="17" max="17" width="10.42578125" style="1166" customWidth="1"/>
    <col min="18" max="16384" width="9" style="1166"/>
  </cols>
  <sheetData>
    <row r="1" spans="1:27" ht="17.25" customHeight="1">
      <c r="A1" s="1165"/>
    </row>
    <row r="2" spans="1:27" ht="15" customHeight="1">
      <c r="B2" s="1167"/>
      <c r="L2" s="1168"/>
      <c r="M2" s="1169"/>
      <c r="N2" s="1169"/>
      <c r="O2" s="1169"/>
      <c r="P2" s="1169"/>
      <c r="Q2" s="1169"/>
      <c r="R2" s="1169"/>
    </row>
    <row r="3" spans="1:27" ht="15" customHeight="1">
      <c r="B3" s="1167"/>
      <c r="L3" s="1168"/>
      <c r="M3" s="1169"/>
      <c r="N3" s="1169"/>
      <c r="O3" s="1169"/>
      <c r="P3" s="1169"/>
      <c r="Q3" s="1169"/>
      <c r="R3" s="1169"/>
    </row>
    <row r="4" spans="1:27" ht="26.25">
      <c r="B4" s="1975" t="s">
        <v>1464</v>
      </c>
      <c r="C4" s="1169"/>
      <c r="D4" s="1169"/>
      <c r="E4" s="1169"/>
      <c r="F4" s="1169"/>
      <c r="G4" s="1169"/>
      <c r="H4" s="1169"/>
      <c r="I4" s="1169"/>
      <c r="J4" s="1169"/>
      <c r="K4" s="1169"/>
      <c r="L4" s="1168"/>
      <c r="M4" s="1169"/>
      <c r="N4" s="1169"/>
      <c r="O4" s="1169"/>
      <c r="P4" s="1169"/>
      <c r="Q4" s="1169"/>
      <c r="R4" s="1169"/>
      <c r="T4" s="1170"/>
      <c r="U4" s="1170"/>
      <c r="V4" s="1170"/>
      <c r="W4" s="1170"/>
      <c r="X4" s="1170"/>
      <c r="Y4" s="1170"/>
      <c r="Z4" s="1170"/>
      <c r="AA4" s="1170"/>
    </row>
    <row r="5" spans="1:27" ht="15" customHeight="1">
      <c r="B5" s="1171" t="s">
        <v>1465</v>
      </c>
      <c r="C5" s="1172"/>
      <c r="D5" s="1172"/>
      <c r="E5" s="1172"/>
      <c r="F5" s="1172"/>
      <c r="G5" s="1172"/>
      <c r="H5" s="1172"/>
      <c r="I5" s="1172"/>
      <c r="J5" s="1172"/>
      <c r="K5" s="1172"/>
      <c r="L5" s="1172"/>
      <c r="M5" s="1172"/>
      <c r="N5" s="1172"/>
      <c r="O5" s="1172"/>
      <c r="P5" s="1172"/>
      <c r="Q5" s="1173"/>
      <c r="R5" s="1169"/>
      <c r="T5" s="1170"/>
      <c r="U5" s="1170"/>
      <c r="V5" s="1170"/>
      <c r="W5" s="1170"/>
      <c r="X5" s="1170"/>
      <c r="Y5" s="1170"/>
      <c r="Z5" s="1170"/>
      <c r="AA5" s="1170"/>
    </row>
    <row r="6" spans="1:27" ht="15" customHeight="1">
      <c r="B6" s="1174" t="s">
        <v>1466</v>
      </c>
      <c r="C6" s="1175"/>
      <c r="D6" s="1175"/>
      <c r="E6" s="1175"/>
      <c r="F6" s="1175"/>
      <c r="G6" s="1175"/>
      <c r="H6" s="1175"/>
      <c r="I6" s="1175"/>
      <c r="J6" s="1175"/>
      <c r="K6" s="1175"/>
      <c r="L6" s="1175"/>
      <c r="M6" s="1175"/>
      <c r="N6" s="1175"/>
      <c r="O6" s="1175"/>
      <c r="P6" s="1175"/>
      <c r="Q6" s="1176"/>
      <c r="R6" s="1169"/>
      <c r="T6" s="1170"/>
      <c r="U6" s="1170"/>
      <c r="V6" s="1170"/>
      <c r="W6" s="1170"/>
      <c r="X6" s="1170"/>
      <c r="Y6" s="1170"/>
      <c r="Z6" s="1170"/>
      <c r="AA6" s="1170"/>
    </row>
    <row r="7" spans="1:27" ht="15" customHeight="1">
      <c r="B7" s="1177"/>
      <c r="C7" s="1178"/>
      <c r="D7" s="1178"/>
      <c r="E7" s="1178"/>
      <c r="F7" s="1178"/>
      <c r="G7" s="1178"/>
      <c r="H7" s="1178"/>
      <c r="I7" s="1178"/>
      <c r="J7" s="1178"/>
      <c r="K7" s="1178"/>
      <c r="L7" s="1178"/>
      <c r="M7" s="1178"/>
      <c r="N7" s="1178"/>
      <c r="O7" s="1178"/>
      <c r="P7" s="1178"/>
      <c r="Q7" s="1169"/>
      <c r="R7" s="1169"/>
      <c r="T7" s="1170"/>
      <c r="U7" s="1170"/>
      <c r="V7" s="1170"/>
      <c r="W7" s="1170"/>
      <c r="X7" s="1170"/>
      <c r="Y7" s="1170"/>
      <c r="Z7" s="1170"/>
      <c r="AA7" s="1170"/>
    </row>
    <row r="8" spans="1:27" ht="23.25">
      <c r="B8" s="1619" t="s">
        <v>1489</v>
      </c>
      <c r="C8" s="1178"/>
      <c r="D8" s="1178"/>
      <c r="E8" s="1178"/>
      <c r="F8" s="1178"/>
      <c r="G8" s="1178"/>
      <c r="H8" s="1178"/>
      <c r="I8" s="1178"/>
      <c r="J8" s="1178"/>
      <c r="K8" s="1178"/>
      <c r="L8" s="1178"/>
      <c r="M8" s="1178"/>
      <c r="N8" s="1178"/>
      <c r="O8" s="1178"/>
      <c r="P8" s="1178"/>
      <c r="Q8" s="1169"/>
      <c r="R8" s="1169"/>
      <c r="T8" s="1170"/>
      <c r="U8" s="1170"/>
      <c r="V8" s="1170"/>
      <c r="W8" s="1170"/>
      <c r="X8" s="1170"/>
      <c r="Y8" s="1170"/>
      <c r="Z8" s="1170"/>
      <c r="AA8" s="1170"/>
    </row>
    <row r="9" spans="1:27" ht="15" customHeight="1">
      <c r="B9" s="1177"/>
      <c r="C9" s="1178"/>
      <c r="D9" s="1178"/>
      <c r="E9" s="1178"/>
      <c r="F9" s="1178"/>
      <c r="G9" s="1178"/>
      <c r="H9" s="1178"/>
      <c r="I9" s="1178"/>
      <c r="J9" s="1178"/>
      <c r="K9" s="1178"/>
      <c r="L9" s="1178"/>
      <c r="M9" s="1178"/>
      <c r="N9" s="1178"/>
      <c r="O9" s="1178"/>
      <c r="P9" s="1178"/>
      <c r="Q9" s="1169"/>
      <c r="R9" s="1169"/>
      <c r="T9" s="1170"/>
      <c r="U9" s="1170"/>
      <c r="V9" s="1170"/>
      <c r="W9" s="1170"/>
      <c r="X9" s="1170"/>
      <c r="Y9" s="1170"/>
      <c r="Z9" s="1170"/>
      <c r="AA9" s="1170"/>
    </row>
    <row r="10" spans="1:27" ht="15" customHeight="1">
      <c r="B10" s="1177"/>
      <c r="C10" s="1178"/>
      <c r="D10" s="1178"/>
      <c r="E10" s="1178"/>
      <c r="F10" s="1178"/>
      <c r="G10" s="1178"/>
      <c r="H10" s="1178"/>
      <c r="I10" s="1178"/>
      <c r="J10" s="1178"/>
      <c r="K10" s="1178"/>
      <c r="L10" s="1178"/>
      <c r="M10" s="1178"/>
      <c r="N10" s="1178"/>
      <c r="O10" s="1178"/>
      <c r="P10" s="1178"/>
      <c r="Q10" s="1169"/>
      <c r="R10" s="1169"/>
      <c r="T10" s="1170"/>
      <c r="U10" s="1170"/>
      <c r="V10" s="1170"/>
      <c r="W10" s="1170"/>
      <c r="X10" s="1170"/>
      <c r="Y10" s="1170"/>
      <c r="Z10" s="1170"/>
      <c r="AA10" s="1170"/>
    </row>
    <row r="11" spans="1:27" ht="15" customHeight="1">
      <c r="B11" s="1177"/>
      <c r="C11" s="1178"/>
      <c r="D11" s="1178"/>
      <c r="E11" s="1178"/>
      <c r="F11" s="1178"/>
      <c r="G11" s="1178"/>
      <c r="H11" s="1178"/>
      <c r="I11" s="1178"/>
      <c r="J11" s="1178"/>
      <c r="K11" s="1178"/>
      <c r="L11" s="1178"/>
      <c r="M11" s="1178"/>
      <c r="N11" s="1178"/>
      <c r="O11" s="1178"/>
      <c r="P11" s="1178"/>
      <c r="Q11" s="1169"/>
      <c r="R11" s="1169"/>
      <c r="T11" s="1170"/>
      <c r="U11" s="1170"/>
      <c r="V11" s="1170"/>
      <c r="W11" s="1170"/>
      <c r="X11" s="1170"/>
      <c r="Y11" s="1170"/>
      <c r="Z11" s="1170"/>
      <c r="AA11" s="1170"/>
    </row>
    <row r="12" spans="1:27" ht="15" customHeight="1">
      <c r="B12" s="1177"/>
      <c r="C12" s="1178"/>
      <c r="D12" s="1178"/>
      <c r="E12" s="1178"/>
      <c r="F12" s="1178"/>
      <c r="G12" s="1178"/>
      <c r="H12" s="1178"/>
      <c r="I12" s="1178"/>
      <c r="J12" s="1178"/>
      <c r="K12" s="1178"/>
      <c r="L12" s="1178"/>
      <c r="M12" s="1178"/>
      <c r="N12" s="1178"/>
      <c r="O12" s="1178"/>
      <c r="P12" s="1178"/>
      <c r="Q12" s="1169"/>
      <c r="R12" s="1169"/>
      <c r="T12" s="1170"/>
      <c r="U12" s="1170"/>
      <c r="V12" s="1170"/>
      <c r="W12" s="1170"/>
      <c r="X12" s="1170"/>
      <c r="Y12" s="1170"/>
      <c r="Z12" s="1170"/>
      <c r="AA12" s="1170"/>
    </row>
    <row r="13" spans="1:27" ht="15" customHeight="1">
      <c r="B13" s="1177"/>
      <c r="C13" s="1178"/>
      <c r="D13" s="1178"/>
      <c r="E13" s="1178"/>
      <c r="F13" s="1178"/>
      <c r="G13" s="1178"/>
      <c r="H13" s="1178"/>
      <c r="I13" s="1178"/>
      <c r="J13" s="1178"/>
      <c r="K13" s="1178"/>
      <c r="L13" s="1178"/>
      <c r="M13" s="1178"/>
      <c r="N13" s="1178"/>
      <c r="O13" s="1178"/>
      <c r="P13" s="1178"/>
      <c r="Q13" s="1169"/>
      <c r="R13" s="1169"/>
      <c r="T13" s="1170"/>
      <c r="U13" s="1170"/>
      <c r="V13" s="1170"/>
      <c r="W13" s="1170"/>
      <c r="X13" s="1170"/>
      <c r="Y13" s="1170"/>
      <c r="Z13" s="1170"/>
      <c r="AA13" s="1170"/>
    </row>
    <row r="14" spans="1:27" ht="15" customHeight="1">
      <c r="B14" s="1177"/>
      <c r="C14" s="1178"/>
      <c r="D14" s="1178"/>
      <c r="E14" s="1178"/>
      <c r="F14" s="1178"/>
      <c r="G14" s="1178"/>
      <c r="H14" s="1178"/>
      <c r="I14" s="1178"/>
      <c r="J14" s="1178"/>
      <c r="K14" s="1178"/>
      <c r="L14" s="1178"/>
      <c r="M14" s="1178"/>
      <c r="N14" s="1178"/>
      <c r="O14" s="1178"/>
      <c r="P14" s="1178"/>
      <c r="Q14" s="1169"/>
      <c r="R14" s="1169"/>
      <c r="T14" s="1170"/>
      <c r="U14" s="1170"/>
      <c r="V14" s="1170"/>
      <c r="W14" s="1170"/>
      <c r="X14" s="1170"/>
      <c r="Y14" s="1170"/>
      <c r="Z14" s="1170"/>
      <c r="AA14" s="1170"/>
    </row>
    <row r="15" spans="1:27" ht="15" customHeight="1">
      <c r="B15" s="1177"/>
      <c r="C15" s="1178"/>
      <c r="D15" s="1178"/>
      <c r="E15" s="1178"/>
      <c r="F15" s="1178"/>
      <c r="G15" s="1178"/>
      <c r="H15" s="1178"/>
      <c r="I15" s="1178"/>
      <c r="J15" s="1178"/>
      <c r="K15" s="1178"/>
      <c r="L15" s="1178"/>
      <c r="M15" s="1178"/>
      <c r="N15" s="1178"/>
      <c r="O15" s="1178"/>
      <c r="P15" s="1178"/>
      <c r="Q15" s="1169"/>
      <c r="R15" s="1169"/>
      <c r="T15" s="1170"/>
      <c r="U15" s="1170"/>
      <c r="V15" s="1170"/>
      <c r="W15" s="1170"/>
      <c r="X15" s="1170"/>
      <c r="Y15" s="1170"/>
      <c r="Z15" s="1170"/>
      <c r="AA15" s="1170"/>
    </row>
    <row r="16" spans="1:27" ht="15" customHeight="1">
      <c r="B16" s="1177"/>
      <c r="C16" s="1178"/>
      <c r="D16" s="1178"/>
      <c r="E16" s="1178"/>
      <c r="F16" s="1178"/>
      <c r="G16" s="1178"/>
      <c r="H16" s="1178"/>
      <c r="I16" s="1178"/>
      <c r="J16" s="1178"/>
      <c r="K16" s="1178"/>
      <c r="L16" s="1178"/>
      <c r="M16" s="1178"/>
      <c r="N16" s="1178"/>
      <c r="O16" s="1178"/>
      <c r="P16" s="1178"/>
      <c r="Q16" s="1169"/>
      <c r="R16" s="1169"/>
      <c r="T16" s="1170"/>
      <c r="U16" s="1170"/>
      <c r="V16" s="1170"/>
      <c r="W16" s="1170"/>
      <c r="X16" s="1170"/>
      <c r="Y16" s="1170"/>
      <c r="Z16" s="1170"/>
      <c r="AA16" s="1170"/>
    </row>
    <row r="17" spans="2:27" ht="15" customHeight="1">
      <c r="B17" s="1177"/>
      <c r="C17" s="1178"/>
      <c r="D17" s="1178"/>
      <c r="E17" s="1178"/>
      <c r="F17" s="1178"/>
      <c r="G17" s="1178"/>
      <c r="H17" s="1178"/>
      <c r="I17" s="1178"/>
      <c r="J17" s="1178"/>
      <c r="K17" s="1178"/>
      <c r="L17" s="1178"/>
      <c r="M17" s="1178"/>
      <c r="N17" s="1178"/>
      <c r="O17" s="1178"/>
      <c r="P17" s="1178"/>
      <c r="Q17" s="1169"/>
      <c r="R17" s="1169"/>
      <c r="T17" s="1170"/>
      <c r="U17" s="1170"/>
      <c r="V17" s="1170"/>
      <c r="W17" s="1170"/>
      <c r="X17" s="1170"/>
      <c r="Y17" s="1170"/>
      <c r="Z17" s="1170"/>
      <c r="AA17" s="1170"/>
    </row>
    <row r="18" spans="2:27" ht="15" customHeight="1">
      <c r="B18" s="1177"/>
      <c r="C18" s="1178"/>
      <c r="D18" s="1178"/>
      <c r="E18" s="1178"/>
      <c r="F18" s="1178"/>
      <c r="G18" s="1178"/>
      <c r="H18" s="1178"/>
      <c r="I18" s="1178"/>
      <c r="J18" s="1178"/>
      <c r="K18" s="1178"/>
      <c r="L18" s="1178"/>
      <c r="M18" s="1178"/>
      <c r="N18" s="1178"/>
      <c r="O18" s="1178"/>
      <c r="P18" s="1178"/>
      <c r="Q18" s="1169"/>
      <c r="R18" s="1169"/>
      <c r="T18" s="1170"/>
      <c r="U18" s="1170"/>
      <c r="V18" s="1170"/>
      <c r="W18" s="1170"/>
      <c r="X18" s="1170"/>
      <c r="Y18" s="1170"/>
      <c r="Z18" s="1170"/>
      <c r="AA18" s="1170"/>
    </row>
    <row r="19" spans="2:27" ht="15" customHeight="1">
      <c r="B19" s="1177"/>
      <c r="C19" s="1178"/>
      <c r="D19" s="1178"/>
      <c r="E19" s="1178"/>
      <c r="F19" s="1178"/>
      <c r="G19" s="1178"/>
      <c r="H19" s="1178"/>
      <c r="I19" s="1178"/>
      <c r="J19" s="1178"/>
      <c r="K19" s="1178"/>
      <c r="L19" s="1178"/>
      <c r="M19" s="1178"/>
      <c r="N19" s="1178"/>
      <c r="O19" s="1178"/>
      <c r="P19" s="1178"/>
      <c r="Q19" s="1169"/>
      <c r="R19" s="1169"/>
      <c r="T19" s="1170"/>
      <c r="U19" s="1170"/>
      <c r="V19" s="1170"/>
      <c r="W19" s="1170"/>
      <c r="X19" s="1170"/>
      <c r="Y19" s="1170"/>
      <c r="Z19" s="1170"/>
      <c r="AA19" s="1170"/>
    </row>
    <row r="20" spans="2:27" ht="15" customHeight="1">
      <c r="B20" s="1177"/>
      <c r="C20" s="1178"/>
      <c r="D20" s="1178"/>
      <c r="E20" s="1178"/>
      <c r="F20" s="1178"/>
      <c r="G20" s="1178"/>
      <c r="H20" s="1178"/>
      <c r="I20" s="1178"/>
      <c r="J20" s="1178"/>
      <c r="K20" s="1178"/>
      <c r="L20" s="1178"/>
      <c r="M20" s="1178"/>
      <c r="N20" s="1178"/>
      <c r="O20" s="1178"/>
      <c r="P20" s="1178"/>
      <c r="Q20" s="1169"/>
      <c r="R20" s="1169"/>
      <c r="T20" s="1170"/>
      <c r="U20" s="1170"/>
      <c r="V20" s="1170"/>
      <c r="W20" s="1170"/>
      <c r="X20" s="1170"/>
      <c r="Y20" s="1170"/>
      <c r="Z20" s="1170"/>
      <c r="AA20" s="1170"/>
    </row>
    <row r="21" spans="2:27" ht="15" customHeight="1">
      <c r="B21" s="1177"/>
      <c r="C21" s="1178"/>
      <c r="D21" s="1178"/>
      <c r="E21" s="1178"/>
      <c r="F21" s="1178"/>
      <c r="G21" s="1178"/>
      <c r="H21" s="1178"/>
      <c r="I21" s="1178"/>
      <c r="J21" s="1178"/>
      <c r="K21" s="1178"/>
      <c r="L21" s="1178"/>
      <c r="M21" s="1178"/>
      <c r="N21" s="1178"/>
      <c r="O21" s="1178"/>
      <c r="P21" s="1178"/>
      <c r="Q21" s="1169"/>
      <c r="R21" s="1169"/>
      <c r="T21" s="1170"/>
      <c r="U21" s="1170"/>
      <c r="V21" s="1170"/>
      <c r="W21" s="1170"/>
      <c r="X21" s="1170"/>
      <c r="Y21" s="1170"/>
      <c r="Z21" s="1170"/>
      <c r="AA21" s="1170"/>
    </row>
    <row r="22" spans="2:27" ht="15" customHeight="1">
      <c r="B22" s="1177"/>
      <c r="C22" s="1178"/>
      <c r="D22" s="1178"/>
      <c r="E22" s="1178"/>
      <c r="F22" s="1178"/>
      <c r="G22" s="1178"/>
      <c r="H22" s="1178"/>
      <c r="I22" s="1178"/>
      <c r="J22" s="1178"/>
      <c r="K22" s="1178"/>
      <c r="L22" s="1178"/>
      <c r="M22" s="1178"/>
      <c r="N22" s="1178"/>
      <c r="O22" s="1178"/>
      <c r="P22" s="1178"/>
      <c r="Q22" s="1169"/>
      <c r="R22" s="1169"/>
      <c r="T22" s="1170"/>
      <c r="U22" s="1170"/>
      <c r="V22" s="1170"/>
      <c r="W22" s="1170"/>
      <c r="X22" s="1170"/>
      <c r="Y22" s="1170"/>
      <c r="Z22" s="1170"/>
      <c r="AA22" s="1170"/>
    </row>
    <row r="23" spans="2:27" ht="15" customHeight="1">
      <c r="B23" s="1177"/>
      <c r="C23" s="1178"/>
      <c r="D23" s="1178"/>
      <c r="E23" s="1178"/>
      <c r="F23" s="1178"/>
      <c r="G23" s="1178"/>
      <c r="H23" s="1178"/>
      <c r="I23" s="1178"/>
      <c r="J23" s="1178"/>
      <c r="K23" s="1178"/>
      <c r="L23" s="1178"/>
      <c r="M23" s="1178"/>
      <c r="N23" s="1178"/>
      <c r="O23" s="1178"/>
      <c r="P23" s="1178"/>
      <c r="Q23" s="1169"/>
      <c r="R23" s="1169"/>
      <c r="T23" s="1170"/>
      <c r="U23" s="1170"/>
      <c r="V23" s="1170"/>
      <c r="W23" s="1170"/>
      <c r="X23" s="1170"/>
      <c r="Y23" s="1170"/>
      <c r="Z23" s="1170"/>
      <c r="AA23" s="1170"/>
    </row>
    <row r="24" spans="2:27" ht="15" customHeight="1">
      <c r="B24" s="1177"/>
      <c r="C24" s="1178"/>
      <c r="D24" s="1178"/>
      <c r="E24" s="1178"/>
      <c r="F24" s="1178"/>
      <c r="G24" s="1178"/>
      <c r="H24" s="1178"/>
      <c r="I24" s="1178"/>
      <c r="J24" s="1178"/>
      <c r="K24" s="1178"/>
      <c r="L24" s="1178"/>
      <c r="M24" s="1178"/>
      <c r="N24" s="1178"/>
      <c r="O24" s="1178"/>
      <c r="P24" s="1178"/>
      <c r="Q24" s="1169"/>
      <c r="R24" s="1169"/>
      <c r="T24" s="1170"/>
      <c r="U24" s="1170"/>
      <c r="V24" s="1170"/>
      <c r="W24" s="1170"/>
      <c r="X24" s="1170"/>
      <c r="Y24" s="1170"/>
      <c r="Z24" s="1170"/>
      <c r="AA24" s="1170"/>
    </row>
    <row r="25" spans="2:27" ht="15" customHeight="1">
      <c r="B25" s="1177"/>
      <c r="C25" s="1178"/>
      <c r="D25" s="1178"/>
      <c r="E25" s="1178"/>
      <c r="F25" s="1178"/>
      <c r="G25" s="1178"/>
      <c r="H25" s="1178"/>
      <c r="I25" s="1178"/>
      <c r="J25" s="1178"/>
      <c r="K25" s="1178"/>
      <c r="L25" s="1178"/>
      <c r="M25" s="1178"/>
      <c r="N25" s="1178"/>
      <c r="O25" s="1178"/>
      <c r="P25" s="1178"/>
      <c r="Q25" s="1169"/>
      <c r="R25" s="1169"/>
      <c r="T25" s="1170"/>
      <c r="U25" s="1170"/>
      <c r="V25" s="1170"/>
      <c r="W25" s="1170"/>
      <c r="X25" s="1170"/>
      <c r="Y25" s="1170"/>
      <c r="Z25" s="1170"/>
      <c r="AA25" s="1170"/>
    </row>
    <row r="26" spans="2:27" ht="15" customHeight="1">
      <c r="B26" s="1177"/>
      <c r="C26" s="1178"/>
      <c r="D26" s="1178"/>
      <c r="E26" s="1178"/>
      <c r="F26" s="1178"/>
      <c r="G26" s="1178"/>
      <c r="H26" s="1178"/>
      <c r="I26" s="1178"/>
      <c r="J26" s="1178"/>
      <c r="K26" s="1178"/>
      <c r="L26" s="1178"/>
      <c r="M26" s="1178"/>
      <c r="N26" s="1178"/>
      <c r="O26" s="1178"/>
      <c r="P26" s="1178"/>
      <c r="Q26" s="1169"/>
      <c r="R26" s="1169"/>
      <c r="T26" s="1170"/>
      <c r="U26" s="1170"/>
      <c r="V26" s="1170"/>
      <c r="W26" s="1170"/>
      <c r="X26" s="1170"/>
      <c r="Y26" s="1170"/>
      <c r="Z26" s="1170"/>
      <c r="AA26" s="1170"/>
    </row>
    <row r="27" spans="2:27" ht="15" customHeight="1">
      <c r="B27" s="1177"/>
      <c r="C27" s="1178"/>
      <c r="D27" s="1178"/>
      <c r="E27" s="1178"/>
      <c r="F27" s="1178"/>
      <c r="G27" s="1178"/>
      <c r="H27" s="1178"/>
      <c r="I27" s="1178"/>
      <c r="J27" s="1178"/>
      <c r="K27" s="1178"/>
      <c r="L27" s="1178"/>
      <c r="M27" s="1178"/>
      <c r="N27" s="1178"/>
      <c r="O27" s="1178"/>
      <c r="P27" s="1178"/>
      <c r="Q27" s="1169"/>
      <c r="R27" s="1169"/>
      <c r="T27" s="1170"/>
      <c r="U27" s="1170"/>
      <c r="V27" s="1170"/>
      <c r="W27" s="1170"/>
      <c r="X27" s="1170"/>
      <c r="Y27" s="1170"/>
      <c r="Z27" s="1170"/>
      <c r="AA27" s="1170"/>
    </row>
    <row r="28" spans="2:27" ht="15" customHeight="1">
      <c r="B28" s="1142"/>
      <c r="C28" s="1178"/>
      <c r="D28" s="1178"/>
      <c r="E28" s="1178"/>
      <c r="F28" s="1178"/>
      <c r="G28" s="1178"/>
      <c r="H28" s="1178"/>
      <c r="I28" s="1178"/>
      <c r="J28" s="1178"/>
      <c r="K28" s="1178"/>
      <c r="L28" s="1178"/>
      <c r="M28" s="1178"/>
      <c r="N28" s="1178"/>
      <c r="O28" s="1178"/>
      <c r="P28" s="1178"/>
      <c r="Q28" s="1169"/>
      <c r="R28" s="1169"/>
      <c r="T28" s="1170"/>
      <c r="U28" s="1170"/>
      <c r="V28" s="1170"/>
      <c r="W28" s="1170"/>
      <c r="X28" s="1170"/>
      <c r="Y28" s="1170"/>
      <c r="Z28" s="1170"/>
      <c r="AA28" s="1170"/>
    </row>
    <row r="29" spans="2:27" ht="23.25">
      <c r="B29" s="1975" t="s">
        <v>516</v>
      </c>
      <c r="C29" s="1178"/>
      <c r="D29" s="1178"/>
      <c r="E29" s="1178"/>
      <c r="F29" s="1178"/>
      <c r="G29" s="1178"/>
      <c r="H29" s="1178"/>
      <c r="I29" s="1178"/>
      <c r="J29" s="1178"/>
      <c r="K29" s="1178"/>
      <c r="L29" s="1178"/>
      <c r="M29" s="1178"/>
      <c r="N29" s="1178"/>
      <c r="O29" s="1178"/>
      <c r="P29" s="1178"/>
      <c r="Q29" s="1169"/>
      <c r="R29" s="1169"/>
      <c r="T29" s="1170"/>
      <c r="U29" s="1170"/>
      <c r="V29" s="1179"/>
      <c r="W29" s="1170"/>
      <c r="X29" s="1170"/>
      <c r="Y29" s="1170"/>
      <c r="Z29" s="1170"/>
      <c r="AA29" s="1170"/>
    </row>
    <row r="30" spans="2:27" ht="15" customHeight="1">
      <c r="B30" s="1590" t="s">
        <v>26</v>
      </c>
      <c r="C30" s="1591"/>
      <c r="D30" s="1591" t="s">
        <v>31</v>
      </c>
      <c r="E30" s="1592"/>
      <c r="F30" s="1592"/>
      <c r="G30" s="1592"/>
      <c r="H30" s="1592"/>
      <c r="I30" s="1592"/>
      <c r="J30" s="1592"/>
      <c r="K30" s="1592"/>
      <c r="L30" s="1592"/>
      <c r="M30" s="1592"/>
      <c r="N30" s="1592"/>
      <c r="O30" s="1592"/>
      <c r="P30" s="1592"/>
      <c r="Q30" s="1591"/>
      <c r="R30" s="1591"/>
      <c r="S30" s="1593"/>
      <c r="T30" s="1170"/>
      <c r="U30" s="1170"/>
      <c r="V30" s="1179"/>
      <c r="W30" s="1170"/>
      <c r="X30" s="1170"/>
      <c r="Y30" s="1170"/>
      <c r="Z30" s="1170"/>
      <c r="AA30" s="1170"/>
    </row>
    <row r="31" spans="2:27" ht="15" customHeight="1">
      <c r="B31" s="1594"/>
      <c r="C31" s="1595"/>
      <c r="D31" s="1595"/>
      <c r="E31" s="1596"/>
      <c r="F31" s="1596"/>
      <c r="G31" s="1596"/>
      <c r="H31" s="1596"/>
      <c r="I31" s="1596"/>
      <c r="J31" s="1596"/>
      <c r="K31" s="1596"/>
      <c r="L31" s="1596"/>
      <c r="M31" s="1596"/>
      <c r="N31" s="1596"/>
      <c r="O31" s="1596"/>
      <c r="P31" s="1596"/>
      <c r="Q31" s="1595"/>
      <c r="R31" s="1595"/>
      <c r="S31" s="1597"/>
      <c r="T31" s="1170"/>
      <c r="U31" s="1170"/>
      <c r="V31" s="1179"/>
      <c r="W31" s="1170"/>
      <c r="X31" s="1170"/>
      <c r="Y31" s="1170"/>
      <c r="Z31" s="1170"/>
      <c r="AA31" s="1170"/>
    </row>
    <row r="32" spans="2:27" ht="15" customHeight="1">
      <c r="B32" s="1598" t="s">
        <v>27</v>
      </c>
      <c r="C32" s="1596"/>
      <c r="D32" s="1599" t="s">
        <v>466</v>
      </c>
      <c r="E32" s="1596"/>
      <c r="F32" s="1596"/>
      <c r="G32" s="1596"/>
      <c r="H32" s="1596"/>
      <c r="I32" s="1596"/>
      <c r="J32" s="1596"/>
      <c r="K32" s="1596"/>
      <c r="L32" s="1596"/>
      <c r="M32" s="1596"/>
      <c r="N32" s="1596"/>
      <c r="O32" s="1596"/>
      <c r="P32" s="1596"/>
      <c r="Q32" s="1595"/>
      <c r="R32" s="1595"/>
      <c r="S32" s="1597"/>
      <c r="T32" s="1170"/>
      <c r="U32" s="1170"/>
      <c r="V32" s="1179"/>
      <c r="W32" s="1170"/>
      <c r="X32" s="1170"/>
      <c r="Y32" s="1170"/>
      <c r="Z32" s="1170"/>
      <c r="AA32" s="1170"/>
    </row>
    <row r="33" spans="2:27" ht="15" customHeight="1">
      <c r="B33" s="1594"/>
      <c r="C33" s="1596"/>
      <c r="D33" s="1600" t="s">
        <v>1745</v>
      </c>
      <c r="E33" s="1596"/>
      <c r="F33" s="1596"/>
      <c r="G33" s="1596"/>
      <c r="H33" s="1596"/>
      <c r="I33" s="1596"/>
      <c r="J33" s="1596"/>
      <c r="K33" s="1596"/>
      <c r="L33" s="1596"/>
      <c r="M33" s="1596"/>
      <c r="N33" s="1596"/>
      <c r="O33" s="1596"/>
      <c r="P33" s="1596"/>
      <c r="Q33" s="1595"/>
      <c r="R33" s="1595"/>
      <c r="S33" s="1597"/>
      <c r="T33" s="1170"/>
      <c r="U33" s="1170"/>
      <c r="V33" s="1179"/>
      <c r="W33" s="1170"/>
      <c r="X33" s="1170"/>
      <c r="Y33" s="1170"/>
      <c r="Z33" s="1170"/>
      <c r="AA33" s="1170"/>
    </row>
    <row r="34" spans="2:27" ht="15" customHeight="1">
      <c r="B34" s="1594"/>
      <c r="C34" s="1596"/>
      <c r="D34" s="1601" t="s">
        <v>208</v>
      </c>
      <c r="E34" s="1596"/>
      <c r="F34" s="1596"/>
      <c r="G34" s="1596"/>
      <c r="H34" s="1596"/>
      <c r="I34" s="1596"/>
      <c r="J34" s="1596"/>
      <c r="K34" s="1596"/>
      <c r="L34" s="1596"/>
      <c r="M34" s="1596"/>
      <c r="N34" s="1596"/>
      <c r="O34" s="1596"/>
      <c r="P34" s="1596"/>
      <c r="Q34" s="1595"/>
      <c r="R34" s="1595"/>
      <c r="S34" s="1597"/>
      <c r="T34" s="1170"/>
      <c r="U34" s="1170"/>
      <c r="V34" s="1179"/>
      <c r="W34" s="1170"/>
      <c r="X34" s="1170"/>
      <c r="Y34" s="1170"/>
      <c r="Z34" s="1170"/>
      <c r="AA34" s="1170"/>
    </row>
    <row r="35" spans="2:27" ht="15" customHeight="1">
      <c r="B35" s="1594"/>
      <c r="C35" s="1595"/>
      <c r="D35" s="1595"/>
      <c r="E35" s="1596"/>
      <c r="F35" s="1596"/>
      <c r="G35" s="1596"/>
      <c r="H35" s="1596"/>
      <c r="I35" s="1596"/>
      <c r="J35" s="1596"/>
      <c r="K35" s="1596"/>
      <c r="L35" s="1596"/>
      <c r="M35" s="1596"/>
      <c r="N35" s="1596"/>
      <c r="O35" s="1596"/>
      <c r="P35" s="1596"/>
      <c r="Q35" s="1595"/>
      <c r="R35" s="1595"/>
      <c r="S35" s="1597"/>
      <c r="T35" s="1170"/>
      <c r="U35" s="1170"/>
      <c r="V35" s="1179"/>
      <c r="W35" s="1170"/>
      <c r="X35" s="1170"/>
      <c r="Y35" s="1170"/>
      <c r="Z35" s="1170"/>
      <c r="AA35" s="1170"/>
    </row>
    <row r="36" spans="2:27" ht="15" customHeight="1">
      <c r="B36" s="1598" t="s">
        <v>28</v>
      </c>
      <c r="C36" s="1596"/>
      <c r="D36" s="1596" t="s">
        <v>468</v>
      </c>
      <c r="E36" s="1596"/>
      <c r="F36" s="1596"/>
      <c r="G36" s="1596"/>
      <c r="H36" s="1596"/>
      <c r="I36" s="1596"/>
      <c r="J36" s="1596"/>
      <c r="K36" s="1596"/>
      <c r="L36" s="1596"/>
      <c r="M36" s="1596"/>
      <c r="N36" s="1596"/>
      <c r="O36" s="1596"/>
      <c r="P36" s="1596"/>
      <c r="Q36" s="1595"/>
      <c r="R36" s="1595"/>
      <c r="S36" s="1597"/>
      <c r="T36" s="1170"/>
      <c r="U36" s="1170"/>
      <c r="V36" s="1179"/>
      <c r="W36" s="1170"/>
      <c r="X36" s="1170"/>
      <c r="Y36" s="1170"/>
      <c r="Z36" s="1170"/>
      <c r="AA36" s="1170"/>
    </row>
    <row r="37" spans="2:27" ht="15" customHeight="1">
      <c r="B37" s="1602"/>
      <c r="C37" s="1596"/>
      <c r="D37" s="1596"/>
      <c r="E37" s="1596"/>
      <c r="F37" s="1596"/>
      <c r="G37" s="1596"/>
      <c r="H37" s="1596"/>
      <c r="I37" s="1596"/>
      <c r="J37" s="1596"/>
      <c r="K37" s="1596"/>
      <c r="L37" s="1596"/>
      <c r="M37" s="1596"/>
      <c r="N37" s="1596"/>
      <c r="O37" s="1596"/>
      <c r="P37" s="1596"/>
      <c r="Q37" s="1595"/>
      <c r="R37" s="1595"/>
      <c r="S37" s="1597"/>
      <c r="T37" s="1170"/>
      <c r="U37" s="1170"/>
      <c r="V37" s="1179"/>
      <c r="W37" s="1170"/>
      <c r="X37" s="1170"/>
      <c r="Y37" s="1170"/>
      <c r="Z37" s="1170"/>
      <c r="AA37" s="1170"/>
    </row>
    <row r="38" spans="2:27" ht="15" customHeight="1">
      <c r="B38" s="1598" t="s">
        <v>467</v>
      </c>
      <c r="C38" s="1596"/>
      <c r="D38" s="1596" t="s">
        <v>33</v>
      </c>
      <c r="E38" s="1596"/>
      <c r="F38" s="1596"/>
      <c r="G38" s="1596"/>
      <c r="H38" s="1596"/>
      <c r="I38" s="1596"/>
      <c r="J38" s="1596"/>
      <c r="K38" s="1596"/>
      <c r="L38" s="1596"/>
      <c r="M38" s="1596"/>
      <c r="N38" s="1596"/>
      <c r="O38" s="1596"/>
      <c r="P38" s="1596"/>
      <c r="Q38" s="1595"/>
      <c r="R38" s="1595"/>
      <c r="S38" s="1597"/>
      <c r="T38" s="1170"/>
      <c r="U38" s="1170"/>
      <c r="V38" s="1179"/>
      <c r="W38" s="1170"/>
      <c r="X38" s="1170"/>
      <c r="Y38" s="1170"/>
      <c r="Z38" s="1170"/>
      <c r="AA38" s="1170"/>
    </row>
    <row r="39" spans="2:27" ht="15" customHeight="1">
      <c r="B39" s="1603"/>
      <c r="C39" s="1596"/>
      <c r="D39" s="1596" t="s">
        <v>34</v>
      </c>
      <c r="E39" s="1596"/>
      <c r="F39" s="1604"/>
      <c r="G39" s="1604"/>
      <c r="H39" s="1604"/>
      <c r="I39" s="1604"/>
      <c r="J39" s="1604"/>
      <c r="K39" s="1604"/>
      <c r="L39" s="1604"/>
      <c r="M39" s="1604"/>
      <c r="N39" s="1604"/>
      <c r="O39" s="1604"/>
      <c r="P39" s="1604"/>
      <c r="Q39" s="1605"/>
      <c r="R39" s="1595"/>
      <c r="S39" s="1597"/>
      <c r="T39" s="1170"/>
      <c r="U39" s="1170"/>
      <c r="V39" s="1179"/>
      <c r="W39" s="1170"/>
      <c r="X39" s="1170"/>
      <c r="Y39" s="1170"/>
      <c r="Z39" s="1170"/>
      <c r="AA39" s="1170"/>
    </row>
    <row r="40" spans="2:27" ht="15" customHeight="1">
      <c r="B40" s="1603"/>
      <c r="C40" s="1596"/>
      <c r="D40" s="1596" t="s">
        <v>217</v>
      </c>
      <c r="E40" s="1596"/>
      <c r="F40" s="1596"/>
      <c r="G40" s="1596"/>
      <c r="H40" s="1596"/>
      <c r="I40" s="1596"/>
      <c r="J40" s="1596"/>
      <c r="K40" s="1596"/>
      <c r="L40" s="1596"/>
      <c r="M40" s="1596"/>
      <c r="N40" s="1596"/>
      <c r="O40" s="1595"/>
      <c r="P40" s="1595"/>
      <c r="Q40" s="1595"/>
      <c r="R40" s="1596"/>
      <c r="S40" s="1597"/>
      <c r="T40" s="1170"/>
      <c r="U40" s="1170"/>
      <c r="V40" s="1179"/>
      <c r="W40" s="1170"/>
      <c r="X40" s="1170"/>
      <c r="Y40" s="1170"/>
      <c r="Z40" s="1170"/>
      <c r="AA40" s="1170"/>
    </row>
    <row r="41" spans="2:27" ht="15" customHeight="1">
      <c r="B41" s="1606"/>
      <c r="C41" s="1604"/>
      <c r="D41" s="1607"/>
      <c r="E41" s="1596"/>
      <c r="F41" s="1596"/>
      <c r="G41" s="1596"/>
      <c r="H41" s="1596"/>
      <c r="I41" s="1596"/>
      <c r="J41" s="1596"/>
      <c r="K41" s="1596"/>
      <c r="L41" s="1596"/>
      <c r="M41" s="1596"/>
      <c r="N41" s="1596"/>
      <c r="O41" s="1595"/>
      <c r="P41" s="1595"/>
      <c r="Q41" s="1595"/>
      <c r="R41" s="1604"/>
      <c r="S41" s="1597"/>
      <c r="T41" s="1170"/>
      <c r="U41" s="1170"/>
      <c r="V41" s="1179"/>
      <c r="W41" s="1170"/>
      <c r="X41" s="1170"/>
      <c r="Y41" s="1170"/>
      <c r="Z41" s="1170"/>
      <c r="AA41" s="1170"/>
    </row>
    <row r="42" spans="2:27" ht="15" customHeight="1">
      <c r="B42" s="1608" t="s">
        <v>421</v>
      </c>
      <c r="C42" s="1604"/>
      <c r="D42" s="1607" t="s">
        <v>210</v>
      </c>
      <c r="E42" s="1596"/>
      <c r="F42" s="1596"/>
      <c r="G42" s="1596"/>
      <c r="H42" s="1596"/>
      <c r="I42" s="1596"/>
      <c r="J42" s="1596"/>
      <c r="K42" s="1596"/>
      <c r="L42" s="1596"/>
      <c r="M42" s="1596"/>
      <c r="N42" s="1596"/>
      <c r="O42" s="1596"/>
      <c r="P42" s="1596"/>
      <c r="Q42" s="1595"/>
      <c r="R42" s="1595"/>
      <c r="S42" s="1597"/>
      <c r="T42" s="1170"/>
      <c r="U42" s="1170"/>
      <c r="V42" s="1179"/>
      <c r="W42" s="1170"/>
      <c r="X42" s="1170"/>
      <c r="Y42" s="1170"/>
      <c r="Z42" s="1170"/>
      <c r="AA42" s="1170"/>
    </row>
    <row r="43" spans="2:27" ht="15" customHeight="1">
      <c r="B43" s="1594"/>
      <c r="C43" s="1596"/>
      <c r="D43" s="1596"/>
      <c r="E43" s="1596"/>
      <c r="F43" s="1596"/>
      <c r="G43" s="1596"/>
      <c r="H43" s="1596"/>
      <c r="I43" s="1596"/>
      <c r="J43" s="1596"/>
      <c r="K43" s="1596"/>
      <c r="L43" s="1596"/>
      <c r="M43" s="1596"/>
      <c r="N43" s="1596"/>
      <c r="O43" s="1596"/>
      <c r="P43" s="1596"/>
      <c r="Q43" s="1595"/>
      <c r="R43" s="1595"/>
      <c r="S43" s="1597"/>
      <c r="T43" s="1170"/>
      <c r="U43" s="1170"/>
      <c r="V43" s="1179"/>
      <c r="W43" s="1170"/>
      <c r="X43" s="1170"/>
      <c r="Y43" s="1170"/>
      <c r="Z43" s="1170"/>
      <c r="AA43" s="1170"/>
    </row>
    <row r="44" spans="2:27" ht="15" customHeight="1">
      <c r="B44" s="1598" t="s">
        <v>465</v>
      </c>
      <c r="C44" s="1596"/>
      <c r="D44" s="1596" t="s">
        <v>32</v>
      </c>
      <c r="E44" s="1596"/>
      <c r="F44" s="1596"/>
      <c r="G44" s="1596"/>
      <c r="H44" s="1596"/>
      <c r="I44" s="1596"/>
      <c r="J44" s="1596"/>
      <c r="K44" s="1596"/>
      <c r="L44" s="1596"/>
      <c r="M44" s="1596"/>
      <c r="N44" s="1596"/>
      <c r="O44" s="1596"/>
      <c r="P44" s="1596"/>
      <c r="Q44" s="1595"/>
      <c r="R44" s="1595"/>
      <c r="S44" s="1597"/>
      <c r="T44" s="1170"/>
      <c r="U44" s="1170"/>
      <c r="V44" s="1179"/>
      <c r="W44" s="1170"/>
      <c r="X44" s="1170"/>
      <c r="Y44" s="1170"/>
      <c r="Z44" s="1170"/>
      <c r="AA44" s="1170"/>
    </row>
    <row r="45" spans="2:27" ht="15" customHeight="1">
      <c r="B45" s="1609"/>
      <c r="C45" s="1610"/>
      <c r="D45" s="1610" t="s">
        <v>209</v>
      </c>
      <c r="E45" s="1610"/>
      <c r="F45" s="1610"/>
      <c r="G45" s="1610"/>
      <c r="H45" s="1610"/>
      <c r="I45" s="1610"/>
      <c r="J45" s="1610"/>
      <c r="K45" s="1610"/>
      <c r="L45" s="1610"/>
      <c r="M45" s="1610"/>
      <c r="N45" s="1610"/>
      <c r="O45" s="1610"/>
      <c r="P45" s="1610"/>
      <c r="Q45" s="1611"/>
      <c r="R45" s="1611"/>
      <c r="S45" s="1612"/>
      <c r="T45" s="1170"/>
      <c r="U45" s="1170"/>
      <c r="V45" s="1179"/>
      <c r="W45" s="1170"/>
      <c r="X45" s="1170"/>
      <c r="Y45" s="1170"/>
      <c r="Z45" s="1170"/>
      <c r="AA45" s="1170"/>
    </row>
    <row r="46" spans="2:27" ht="15" customHeight="1">
      <c r="B46" s="1180"/>
      <c r="C46" s="1180"/>
      <c r="D46" s="1180"/>
      <c r="E46" s="1180"/>
      <c r="F46" s="1180"/>
      <c r="G46" s="1180"/>
      <c r="H46" s="1180"/>
      <c r="I46" s="1180"/>
      <c r="J46" s="1180"/>
      <c r="K46" s="1180"/>
      <c r="L46" s="1178"/>
      <c r="M46" s="1178"/>
      <c r="N46" s="1178"/>
      <c r="O46" s="1178"/>
      <c r="P46" s="1178"/>
      <c r="Q46" s="1169"/>
      <c r="R46" s="1169"/>
      <c r="S46" s="1169"/>
      <c r="U46" s="1170"/>
      <c r="V46" s="1170"/>
      <c r="W46" s="1170"/>
      <c r="X46" s="1170"/>
      <c r="Y46" s="1170"/>
      <c r="Z46" s="1170"/>
      <c r="AA46" s="1170"/>
    </row>
    <row r="47" spans="2:27" ht="23.25">
      <c r="B47" s="1975" t="s">
        <v>179</v>
      </c>
      <c r="C47" s="1178"/>
      <c r="D47" s="1178"/>
      <c r="E47" s="1178"/>
      <c r="F47" s="1178"/>
      <c r="G47" s="1178"/>
      <c r="H47" s="1178"/>
      <c r="I47" s="1178"/>
      <c r="J47" s="1178"/>
      <c r="K47" s="1178"/>
      <c r="L47" s="1178"/>
      <c r="M47" s="1178"/>
      <c r="N47" s="1178"/>
      <c r="O47" s="1178"/>
      <c r="P47" s="1178"/>
      <c r="Q47" s="1169"/>
      <c r="R47" s="1169"/>
      <c r="S47" s="1169"/>
      <c r="T47" s="1170"/>
      <c r="U47" s="1170"/>
      <c r="V47" s="1170"/>
      <c r="W47" s="1170"/>
      <c r="X47" s="1170"/>
      <c r="Y47" s="1170"/>
      <c r="Z47" s="1170"/>
      <c r="AA47" s="1170"/>
    </row>
    <row r="48" spans="2:27" ht="15" customHeight="1">
      <c r="B48" s="1613" t="s">
        <v>211</v>
      </c>
      <c r="C48" s="1592"/>
      <c r="D48" s="1592"/>
      <c r="E48" s="1592"/>
      <c r="F48" s="1592"/>
      <c r="G48" s="1592"/>
      <c r="H48" s="1592"/>
      <c r="I48" s="1592"/>
      <c r="J48" s="1592"/>
      <c r="K48" s="1592"/>
      <c r="L48" s="1592"/>
      <c r="M48" s="1592"/>
      <c r="N48" s="1592"/>
      <c r="O48" s="1592"/>
      <c r="P48" s="1592"/>
      <c r="Q48" s="1591"/>
      <c r="R48" s="1591"/>
      <c r="S48" s="1593"/>
      <c r="T48" s="1170"/>
      <c r="U48" s="1170"/>
      <c r="V48" s="1170"/>
      <c r="W48" s="1170"/>
      <c r="X48" s="1170"/>
      <c r="Y48" s="1170"/>
      <c r="Z48" s="1170"/>
      <c r="AA48" s="1170"/>
    </row>
    <row r="49" spans="1:27" ht="15" customHeight="1">
      <c r="A49" s="1181"/>
      <c r="B49" s="1603" t="s">
        <v>212</v>
      </c>
      <c r="C49" s="1596"/>
      <c r="D49" s="1596"/>
      <c r="E49" s="1596"/>
      <c r="F49" s="1596"/>
      <c r="G49" s="1596"/>
      <c r="H49" s="1596"/>
      <c r="I49" s="1596"/>
      <c r="J49" s="1596"/>
      <c r="K49" s="1596"/>
      <c r="L49" s="1596"/>
      <c r="M49" s="1596"/>
      <c r="N49" s="1596"/>
      <c r="O49" s="1596"/>
      <c r="P49" s="1596"/>
      <c r="Q49" s="1595"/>
      <c r="R49" s="1595"/>
      <c r="S49" s="1597"/>
      <c r="T49" s="1170"/>
      <c r="U49" s="1170"/>
      <c r="V49" s="1170"/>
      <c r="W49" s="1170"/>
      <c r="X49" s="1170"/>
      <c r="Y49" s="1170"/>
      <c r="Z49" s="1170"/>
      <c r="AA49" s="1170"/>
    </row>
    <row r="50" spans="1:27" ht="15" customHeight="1">
      <c r="A50" s="1181"/>
      <c r="B50" s="1603" t="s">
        <v>213</v>
      </c>
      <c r="C50" s="1596"/>
      <c r="D50" s="1596"/>
      <c r="E50" s="1596"/>
      <c r="F50" s="1596"/>
      <c r="G50" s="1596"/>
      <c r="H50" s="1596"/>
      <c r="I50" s="1596"/>
      <c r="J50" s="1596"/>
      <c r="K50" s="1596"/>
      <c r="L50" s="1596"/>
      <c r="M50" s="1596"/>
      <c r="N50" s="1596"/>
      <c r="O50" s="1596"/>
      <c r="P50" s="1596"/>
      <c r="Q50" s="1595"/>
      <c r="R50" s="1595"/>
      <c r="S50" s="1597"/>
      <c r="T50" s="1170"/>
      <c r="U50" s="1170"/>
      <c r="V50" s="1170"/>
      <c r="W50" s="1170"/>
      <c r="X50" s="1170"/>
      <c r="Y50" s="1170"/>
      <c r="Z50" s="1170"/>
      <c r="AA50" s="1170"/>
    </row>
    <row r="51" spans="1:27" ht="15" customHeight="1">
      <c r="A51" s="1181"/>
      <c r="B51" s="1603" t="s">
        <v>214</v>
      </c>
      <c r="C51" s="1596"/>
      <c r="D51" s="1596"/>
      <c r="E51" s="1596"/>
      <c r="F51" s="1596"/>
      <c r="G51" s="1596"/>
      <c r="H51" s="1596"/>
      <c r="I51" s="1596"/>
      <c r="J51" s="1596"/>
      <c r="K51" s="1596"/>
      <c r="L51" s="1596"/>
      <c r="M51" s="1596"/>
      <c r="N51" s="1596"/>
      <c r="O51" s="1596"/>
      <c r="P51" s="1596"/>
      <c r="Q51" s="1595"/>
      <c r="R51" s="1595"/>
      <c r="S51" s="1597"/>
      <c r="T51" s="1170"/>
      <c r="U51" s="1170"/>
      <c r="V51" s="1170"/>
      <c r="W51" s="1170"/>
      <c r="X51" s="1170"/>
      <c r="Y51" s="1170"/>
      <c r="Z51" s="1170"/>
      <c r="AA51" s="1170"/>
    </row>
    <row r="52" spans="1:27" ht="15" customHeight="1">
      <c r="A52" s="1181"/>
      <c r="B52" s="1603"/>
      <c r="C52" s="1596"/>
      <c r="D52" s="1596"/>
      <c r="E52" s="1596"/>
      <c r="F52" s="1596"/>
      <c r="G52" s="1596"/>
      <c r="H52" s="1596"/>
      <c r="I52" s="1596"/>
      <c r="J52" s="1596"/>
      <c r="K52" s="1596"/>
      <c r="L52" s="1596"/>
      <c r="M52" s="1596"/>
      <c r="N52" s="1596"/>
      <c r="O52" s="1596"/>
      <c r="P52" s="1596"/>
      <c r="Q52" s="1595"/>
      <c r="R52" s="1595"/>
      <c r="S52" s="1597"/>
    </row>
    <row r="53" spans="1:27" ht="15" customHeight="1">
      <c r="A53" s="1181"/>
      <c r="B53" s="1614" t="s">
        <v>1327</v>
      </c>
      <c r="C53" s="1596"/>
      <c r="D53" s="1596"/>
      <c r="E53" s="1596"/>
      <c r="F53" s="1596"/>
      <c r="G53" s="1596"/>
      <c r="H53" s="1596"/>
      <c r="I53" s="1596"/>
      <c r="J53" s="1596"/>
      <c r="K53" s="1596"/>
      <c r="L53" s="1596"/>
      <c r="M53" s="1596"/>
      <c r="N53" s="1596"/>
      <c r="O53" s="1596"/>
      <c r="P53" s="1596"/>
      <c r="Q53" s="1595"/>
      <c r="R53" s="1595"/>
      <c r="S53" s="1597"/>
    </row>
    <row r="54" spans="1:27" ht="15" customHeight="1">
      <c r="A54" s="1182"/>
      <c r="B54" s="1614" t="s">
        <v>1457</v>
      </c>
      <c r="C54" s="1596"/>
      <c r="D54" s="1596"/>
      <c r="E54" s="1596"/>
      <c r="F54" s="1596"/>
      <c r="G54" s="1596"/>
      <c r="H54" s="1596"/>
      <c r="I54" s="1596"/>
      <c r="J54" s="1596"/>
      <c r="K54" s="1596"/>
      <c r="L54" s="1596"/>
      <c r="M54" s="1596"/>
      <c r="N54" s="1596"/>
      <c r="O54" s="1596"/>
      <c r="P54" s="1596"/>
      <c r="Q54" s="1595"/>
      <c r="R54" s="1595"/>
      <c r="S54" s="1597"/>
    </row>
    <row r="55" spans="1:27" ht="15" customHeight="1">
      <c r="A55" s="1182"/>
      <c r="B55" s="1614" t="s">
        <v>1326</v>
      </c>
      <c r="C55" s="1596"/>
      <c r="D55" s="1596"/>
      <c r="E55" s="1596"/>
      <c r="F55" s="1596"/>
      <c r="G55" s="1596"/>
      <c r="H55" s="1596"/>
      <c r="I55" s="1596"/>
      <c r="J55" s="1596"/>
      <c r="K55" s="1596"/>
      <c r="L55" s="1596"/>
      <c r="M55" s="1596"/>
      <c r="N55" s="1596"/>
      <c r="O55" s="1596"/>
      <c r="P55" s="1596"/>
      <c r="Q55" s="1595"/>
      <c r="R55" s="1595"/>
      <c r="S55" s="1597"/>
    </row>
    <row r="56" spans="1:27" ht="15" customHeight="1">
      <c r="A56" s="1182"/>
      <c r="B56" s="1614"/>
      <c r="C56" s="1596"/>
      <c r="D56" s="1596"/>
      <c r="E56" s="1596"/>
      <c r="F56" s="1596"/>
      <c r="G56" s="1596"/>
      <c r="H56" s="1596"/>
      <c r="I56" s="1596"/>
      <c r="J56" s="1596"/>
      <c r="K56" s="1596"/>
      <c r="L56" s="1596"/>
      <c r="M56" s="1596"/>
      <c r="N56" s="1596"/>
      <c r="O56" s="1596"/>
      <c r="P56" s="1596"/>
      <c r="Q56" s="1595"/>
      <c r="R56" s="1595"/>
      <c r="S56" s="1597"/>
    </row>
    <row r="57" spans="1:27" ht="15" customHeight="1">
      <c r="A57" s="1182"/>
      <c r="B57" s="1603"/>
      <c r="C57" s="1596"/>
      <c r="D57" s="1596"/>
      <c r="E57" s="1596"/>
      <c r="F57" s="1596"/>
      <c r="G57" s="1596"/>
      <c r="H57" s="1596"/>
      <c r="I57" s="1596"/>
      <c r="J57" s="1596"/>
      <c r="K57" s="1596"/>
      <c r="L57" s="1596"/>
      <c r="M57" s="1596"/>
      <c r="N57" s="1596"/>
      <c r="O57" s="1596"/>
      <c r="P57" s="1596"/>
      <c r="Q57" s="1595"/>
      <c r="R57" s="1595"/>
      <c r="S57" s="1597"/>
    </row>
    <row r="58" spans="1:27" ht="15" customHeight="1">
      <c r="A58" s="1182"/>
      <c r="B58" s="1603"/>
      <c r="C58" s="1596"/>
      <c r="D58" s="1596"/>
      <c r="E58" s="1596"/>
      <c r="F58" s="1596"/>
      <c r="G58" s="1596"/>
      <c r="H58" s="1596"/>
      <c r="I58" s="1596"/>
      <c r="J58" s="1596"/>
      <c r="K58" s="1596"/>
      <c r="L58" s="1596"/>
      <c r="M58" s="1596"/>
      <c r="N58" s="1596"/>
      <c r="O58" s="1596"/>
      <c r="P58" s="1596"/>
      <c r="Q58" s="1595"/>
      <c r="R58" s="1595"/>
      <c r="S58" s="1597"/>
    </row>
    <row r="59" spans="1:27" ht="15" customHeight="1">
      <c r="A59" s="1182"/>
      <c r="B59" s="1603"/>
      <c r="C59" s="1596"/>
      <c r="D59" s="1596"/>
      <c r="E59" s="1596"/>
      <c r="F59" s="1596"/>
      <c r="G59" s="1596"/>
      <c r="H59" s="1596"/>
      <c r="I59" s="1596"/>
      <c r="J59" s="1596"/>
      <c r="K59" s="1596"/>
      <c r="L59" s="1596"/>
      <c r="M59" s="1596"/>
      <c r="N59" s="1596"/>
      <c r="O59" s="1596"/>
      <c r="P59" s="1596"/>
      <c r="Q59" s="1595"/>
      <c r="R59" s="1595"/>
      <c r="S59" s="1597"/>
    </row>
    <row r="60" spans="1:27" ht="15" customHeight="1">
      <c r="A60" s="1182"/>
      <c r="B60" s="1603"/>
      <c r="C60" s="1596"/>
      <c r="D60" s="1596"/>
      <c r="E60" s="1596"/>
      <c r="F60" s="1596"/>
      <c r="G60" s="1596"/>
      <c r="H60" s="1596"/>
      <c r="I60" s="1596"/>
      <c r="J60" s="1596"/>
      <c r="K60" s="1596"/>
      <c r="L60" s="1596"/>
      <c r="M60" s="1595"/>
      <c r="N60" s="1600" t="s">
        <v>1458</v>
      </c>
      <c r="O60" s="1596"/>
      <c r="P60" s="1596"/>
      <c r="Q60" s="1595"/>
      <c r="R60" s="1595"/>
      <c r="S60" s="1597"/>
    </row>
    <row r="61" spans="1:27" ht="15" customHeight="1">
      <c r="A61" s="1182"/>
      <c r="B61" s="1603"/>
      <c r="C61" s="1596"/>
      <c r="D61" s="1596"/>
      <c r="E61" s="1596"/>
      <c r="F61" s="1596"/>
      <c r="G61" s="1596"/>
      <c r="H61" s="1596"/>
      <c r="I61" s="1596"/>
      <c r="J61" s="1596"/>
      <c r="K61" s="1596"/>
      <c r="L61" s="1596"/>
      <c r="M61" s="1596"/>
      <c r="N61" s="1596"/>
      <c r="O61" s="1596"/>
      <c r="P61" s="1596"/>
      <c r="Q61" s="1595"/>
      <c r="R61" s="1595"/>
      <c r="S61" s="1597"/>
    </row>
    <row r="62" spans="1:27" ht="15" customHeight="1">
      <c r="A62" s="1182"/>
      <c r="B62" s="1603"/>
      <c r="C62" s="1596"/>
      <c r="D62" s="1596"/>
      <c r="E62" s="1596"/>
      <c r="F62" s="1596"/>
      <c r="G62" s="1596"/>
      <c r="H62" s="1596"/>
      <c r="I62" s="1596"/>
      <c r="J62" s="1596"/>
      <c r="K62" s="1596"/>
      <c r="L62" s="1596"/>
      <c r="M62" s="1595"/>
      <c r="N62" s="1596"/>
      <c r="O62" s="1596"/>
      <c r="P62" s="1596"/>
      <c r="Q62" s="1595"/>
      <c r="R62" s="1595"/>
      <c r="S62" s="1597"/>
    </row>
    <row r="63" spans="1:27" ht="15" customHeight="1">
      <c r="A63" s="1182"/>
      <c r="B63" s="1603"/>
      <c r="C63" s="1596"/>
      <c r="D63" s="1596"/>
      <c r="E63" s="1596"/>
      <c r="F63" s="1596"/>
      <c r="G63" s="1596"/>
      <c r="H63" s="1596"/>
      <c r="I63" s="1596"/>
      <c r="J63" s="1596"/>
      <c r="K63" s="1596"/>
      <c r="L63" s="1596"/>
      <c r="M63" s="1596"/>
      <c r="N63" s="1596"/>
      <c r="O63" s="1596"/>
      <c r="P63" s="1596"/>
      <c r="Q63" s="1595"/>
      <c r="R63" s="1595"/>
      <c r="S63" s="1597"/>
    </row>
    <row r="64" spans="1:27" ht="15" customHeight="1">
      <c r="A64" s="1182"/>
      <c r="B64" s="1603"/>
      <c r="C64" s="1596"/>
      <c r="D64" s="1596"/>
      <c r="E64" s="1596"/>
      <c r="F64" s="1596"/>
      <c r="G64" s="1596"/>
      <c r="H64" s="1596"/>
      <c r="I64" s="1596"/>
      <c r="J64" s="1596"/>
      <c r="K64" s="1596"/>
      <c r="L64" s="1596"/>
      <c r="M64" s="1596"/>
      <c r="N64" s="1596"/>
      <c r="O64" s="1596"/>
      <c r="P64" s="1596"/>
      <c r="Q64" s="1595"/>
      <c r="R64" s="1595"/>
      <c r="S64" s="1597"/>
    </row>
    <row r="65" spans="1:19" ht="15" customHeight="1">
      <c r="A65" s="1182"/>
      <c r="B65" s="1603"/>
      <c r="C65" s="1596"/>
      <c r="D65" s="1596"/>
      <c r="E65" s="1596"/>
      <c r="F65" s="1596"/>
      <c r="G65" s="1596"/>
      <c r="H65" s="1596"/>
      <c r="I65" s="1596"/>
      <c r="J65" s="1596"/>
      <c r="K65" s="1596"/>
      <c r="L65" s="1596"/>
      <c r="M65" s="1596"/>
      <c r="N65" s="1596"/>
      <c r="O65" s="1596"/>
      <c r="P65" s="1596"/>
      <c r="Q65" s="1595"/>
      <c r="R65" s="1595"/>
      <c r="S65" s="1597"/>
    </row>
    <row r="66" spans="1:19" ht="15" customHeight="1">
      <c r="A66" s="1182"/>
      <c r="B66" s="1603"/>
      <c r="C66" s="1596"/>
      <c r="D66" s="1596"/>
      <c r="E66" s="1596"/>
      <c r="F66" s="1596"/>
      <c r="G66" s="1596"/>
      <c r="H66" s="1596"/>
      <c r="I66" s="1596"/>
      <c r="J66" s="1596"/>
      <c r="K66" s="1596"/>
      <c r="L66" s="1596"/>
      <c r="M66" s="1596"/>
      <c r="N66" s="1596"/>
      <c r="O66" s="1596"/>
      <c r="P66" s="1596"/>
      <c r="Q66" s="1595"/>
      <c r="R66" s="1595"/>
      <c r="S66" s="1597"/>
    </row>
    <row r="67" spans="1:19" ht="15" customHeight="1">
      <c r="A67" s="1182"/>
      <c r="B67" s="1603"/>
      <c r="C67" s="1596"/>
      <c r="D67" s="1596"/>
      <c r="E67" s="1596"/>
      <c r="F67" s="1596"/>
      <c r="G67" s="1596"/>
      <c r="H67" s="1596"/>
      <c r="I67" s="1596"/>
      <c r="J67" s="1596"/>
      <c r="K67" s="1596"/>
      <c r="L67" s="1596"/>
      <c r="M67" s="1596"/>
      <c r="N67" s="1596"/>
      <c r="O67" s="1596"/>
      <c r="P67" s="1596"/>
      <c r="Q67" s="1595"/>
      <c r="R67" s="1595"/>
      <c r="S67" s="1597"/>
    </row>
    <row r="68" spans="1:19" ht="15" customHeight="1">
      <c r="A68" s="1182"/>
      <c r="B68" s="1603"/>
      <c r="C68" s="1596"/>
      <c r="D68" s="1596"/>
      <c r="E68" s="1596"/>
      <c r="F68" s="1596"/>
      <c r="G68" s="1596"/>
      <c r="H68" s="1596"/>
      <c r="I68" s="1596"/>
      <c r="J68" s="1596"/>
      <c r="K68" s="1596"/>
      <c r="L68" s="1596"/>
      <c r="M68" s="1596"/>
      <c r="N68" s="1596"/>
      <c r="O68" s="1596"/>
      <c r="P68" s="1596"/>
      <c r="Q68" s="1595"/>
      <c r="R68" s="1595"/>
      <c r="S68" s="1597"/>
    </row>
    <row r="69" spans="1:19" ht="15" customHeight="1">
      <c r="A69" s="1182"/>
      <c r="B69" s="1603"/>
      <c r="C69" s="1596"/>
      <c r="D69" s="1596"/>
      <c r="E69" s="1596"/>
      <c r="F69" s="1596"/>
      <c r="G69" s="1596"/>
      <c r="H69" s="1596"/>
      <c r="I69" s="1596"/>
      <c r="J69" s="1596"/>
      <c r="K69" s="1596"/>
      <c r="L69" s="1596"/>
      <c r="M69" s="1601"/>
      <c r="N69" s="1596" t="s">
        <v>1459</v>
      </c>
      <c r="O69" s="1596"/>
      <c r="P69" s="1596"/>
      <c r="Q69" s="1595"/>
      <c r="R69" s="1595"/>
      <c r="S69" s="1597"/>
    </row>
    <row r="70" spans="1:19" ht="15" customHeight="1">
      <c r="A70" s="1182"/>
      <c r="B70" s="1603"/>
      <c r="C70" s="1596"/>
      <c r="D70" s="1596"/>
      <c r="E70" s="1596"/>
      <c r="F70" s="1596"/>
      <c r="G70" s="1596"/>
      <c r="H70" s="1596"/>
      <c r="I70" s="1596"/>
      <c r="J70" s="1596"/>
      <c r="K70" s="1596"/>
      <c r="L70" s="1596"/>
      <c r="M70" s="1601"/>
      <c r="N70" s="1596"/>
      <c r="O70" s="1596"/>
      <c r="P70" s="1596"/>
      <c r="Q70" s="1595"/>
      <c r="R70" s="1595"/>
      <c r="S70" s="1597"/>
    </row>
    <row r="71" spans="1:19" ht="15" customHeight="1">
      <c r="A71" s="1182"/>
      <c r="B71" s="1603"/>
      <c r="C71" s="1596"/>
      <c r="D71" s="1596"/>
      <c r="E71" s="1596"/>
      <c r="F71" s="1596"/>
      <c r="G71" s="1596"/>
      <c r="H71" s="1596"/>
      <c r="I71" s="1596"/>
      <c r="J71" s="1596"/>
      <c r="K71" s="1596"/>
      <c r="L71" s="1596"/>
      <c r="M71" s="1595"/>
      <c r="N71" s="1601" t="s">
        <v>1456</v>
      </c>
      <c r="O71" s="1596"/>
      <c r="P71" s="1596"/>
      <c r="Q71" s="1595"/>
      <c r="R71" s="1595"/>
      <c r="S71" s="1597"/>
    </row>
    <row r="72" spans="1:19" ht="15" customHeight="1">
      <c r="A72" s="1182"/>
      <c r="B72" s="1603"/>
      <c r="C72" s="1596"/>
      <c r="D72" s="1596"/>
      <c r="E72" s="1596"/>
      <c r="F72" s="1596"/>
      <c r="G72" s="1596"/>
      <c r="H72" s="1596"/>
      <c r="I72" s="1596"/>
      <c r="J72" s="1596"/>
      <c r="K72" s="1596"/>
      <c r="L72" s="1596"/>
      <c r="M72" s="1595"/>
      <c r="N72" s="1596"/>
      <c r="O72" s="1596"/>
      <c r="P72" s="1596"/>
      <c r="Q72" s="1595"/>
      <c r="R72" s="1595"/>
      <c r="S72" s="1597"/>
    </row>
    <row r="73" spans="1:19" ht="15" customHeight="1">
      <c r="A73" s="1182"/>
      <c r="B73" s="1603"/>
      <c r="C73" s="1596"/>
      <c r="D73" s="1596"/>
      <c r="E73" s="1596"/>
      <c r="F73" s="1596"/>
      <c r="G73" s="1596"/>
      <c r="H73" s="1596"/>
      <c r="I73" s="1596"/>
      <c r="J73" s="1596"/>
      <c r="K73" s="1596"/>
      <c r="L73" s="1596"/>
      <c r="M73" s="1601"/>
      <c r="N73" s="1601" t="s">
        <v>1462</v>
      </c>
      <c r="O73" s="1596"/>
      <c r="P73" s="1596"/>
      <c r="Q73" s="1595"/>
      <c r="R73" s="1595"/>
      <c r="S73" s="1597"/>
    </row>
    <row r="74" spans="1:19" ht="15" customHeight="1">
      <c r="A74" s="1182"/>
      <c r="B74" s="1603"/>
      <c r="C74" s="1596"/>
      <c r="D74" s="1596"/>
      <c r="E74" s="1596"/>
      <c r="F74" s="1596"/>
      <c r="G74" s="1596"/>
      <c r="H74" s="1596"/>
      <c r="I74" s="1596"/>
      <c r="J74" s="1596"/>
      <c r="K74" s="1596"/>
      <c r="L74" s="1596"/>
      <c r="M74" s="1601"/>
      <c r="N74" s="1601" t="s">
        <v>1460</v>
      </c>
      <c r="O74" s="1596"/>
      <c r="P74" s="1596"/>
      <c r="Q74" s="1595"/>
      <c r="R74" s="1595"/>
      <c r="S74" s="1597"/>
    </row>
    <row r="75" spans="1:19" ht="15" customHeight="1">
      <c r="A75" s="1182"/>
      <c r="B75" s="1603"/>
      <c r="C75" s="1596"/>
      <c r="D75" s="1596"/>
      <c r="E75" s="1596"/>
      <c r="F75" s="1596"/>
      <c r="G75" s="1596"/>
      <c r="H75" s="1596"/>
      <c r="I75" s="1596"/>
      <c r="J75" s="1596"/>
      <c r="K75" s="1596"/>
      <c r="L75" s="1596"/>
      <c r="M75" s="1595"/>
      <c r="N75" s="1601" t="s">
        <v>1837</v>
      </c>
      <c r="O75" s="1596"/>
      <c r="P75" s="1596"/>
      <c r="Q75" s="1595"/>
      <c r="R75" s="1595"/>
      <c r="S75" s="1597"/>
    </row>
    <row r="76" spans="1:19" ht="15" customHeight="1">
      <c r="A76" s="1182"/>
      <c r="B76" s="1603"/>
      <c r="C76" s="1596"/>
      <c r="D76" s="1596"/>
      <c r="E76" s="1596"/>
      <c r="F76" s="1596"/>
      <c r="G76" s="1596"/>
      <c r="H76" s="1596"/>
      <c r="I76" s="1596"/>
      <c r="J76" s="1596"/>
      <c r="K76" s="1596"/>
      <c r="L76" s="1596"/>
      <c r="M76" s="1595"/>
      <c r="N76" s="1596"/>
      <c r="O76" s="1596"/>
      <c r="P76" s="1596"/>
      <c r="Q76" s="1595"/>
      <c r="R76" s="1595"/>
      <c r="S76" s="1597"/>
    </row>
    <row r="77" spans="1:19" ht="15" customHeight="1">
      <c r="A77" s="1182"/>
      <c r="B77" s="1603"/>
      <c r="C77" s="1596"/>
      <c r="D77" s="1596"/>
      <c r="E77" s="1596"/>
      <c r="F77" s="1596"/>
      <c r="G77" s="1596"/>
      <c r="H77" s="1596"/>
      <c r="I77" s="1596"/>
      <c r="J77" s="1596"/>
      <c r="K77" s="1596"/>
      <c r="L77" s="1596"/>
      <c r="M77" s="1595"/>
      <c r="N77" s="1615" t="s">
        <v>1461</v>
      </c>
      <c r="O77" s="1596"/>
      <c r="P77" s="1596"/>
      <c r="Q77" s="1595"/>
      <c r="R77" s="1595"/>
      <c r="S77" s="1597"/>
    </row>
    <row r="78" spans="1:19" ht="15" customHeight="1">
      <c r="A78" s="1182"/>
      <c r="B78" s="1603"/>
      <c r="C78" s="1596"/>
      <c r="D78" s="1596"/>
      <c r="E78" s="1596"/>
      <c r="F78" s="1596"/>
      <c r="G78" s="1596"/>
      <c r="H78" s="1596"/>
      <c r="I78" s="1596"/>
      <c r="J78" s="1596"/>
      <c r="K78" s="1596"/>
      <c r="L78" s="1596"/>
      <c r="M78" s="1595"/>
      <c r="N78" s="1616"/>
      <c r="O78" s="1616"/>
      <c r="P78" s="1616"/>
      <c r="Q78" s="1617"/>
      <c r="R78" s="1595"/>
      <c r="S78" s="1597"/>
    </row>
    <row r="79" spans="1:19" ht="15" customHeight="1">
      <c r="A79" s="1182"/>
      <c r="B79" s="1603"/>
      <c r="C79" s="1596"/>
      <c r="D79" s="1596"/>
      <c r="E79" s="1596"/>
      <c r="F79" s="1596"/>
      <c r="G79" s="1596"/>
      <c r="H79" s="1596"/>
      <c r="I79" s="1596"/>
      <c r="J79" s="1596"/>
      <c r="K79" s="1596"/>
      <c r="L79" s="1596"/>
      <c r="M79" s="1596"/>
      <c r="N79" s="1596"/>
      <c r="O79" s="1596"/>
      <c r="P79" s="1596"/>
      <c r="Q79" s="1595"/>
      <c r="R79" s="1595"/>
      <c r="S79" s="1597"/>
    </row>
    <row r="80" spans="1:19" ht="15" customHeight="1">
      <c r="A80" s="1169"/>
      <c r="B80" s="1618" t="s">
        <v>1325</v>
      </c>
      <c r="C80" s="1610"/>
      <c r="D80" s="1610"/>
      <c r="E80" s="1610"/>
      <c r="F80" s="1610"/>
      <c r="G80" s="1610"/>
      <c r="H80" s="1610"/>
      <c r="I80" s="1610"/>
      <c r="J80" s="1610"/>
      <c r="K80" s="1610"/>
      <c r="L80" s="1610"/>
      <c r="M80" s="1610"/>
      <c r="N80" s="1610"/>
      <c r="O80" s="1610"/>
      <c r="P80" s="1610"/>
      <c r="Q80" s="1611"/>
      <c r="R80" s="1611"/>
      <c r="S80" s="1612"/>
    </row>
  </sheetData>
  <phoneticPr fontId="0" type="noConversion"/>
  <pageMargins left="0.19685039370078741" right="0.19685039370078741" top="0.19685039370078741" bottom="0.19685039370078741" header="0.19685039370078741" footer="0.19685039370078741"/>
  <pageSetup paperSize="9" scale="34" fitToHeight="4"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9" tint="0.59999389629810485"/>
  </sheetPr>
  <dimension ref="A1:Z100"/>
  <sheetViews>
    <sheetView zoomScale="90" zoomScaleNormal="90" workbookViewId="0"/>
  </sheetViews>
  <sheetFormatPr baseColWidth="10" defaultColWidth="9" defaultRowHeight="15" customHeight="1"/>
  <cols>
    <col min="1" max="1" width="3.7109375" style="1117" customWidth="1"/>
    <col min="2" max="15" width="9" style="1117"/>
    <col min="16" max="16" width="22.85546875" style="1117" customWidth="1"/>
    <col min="17" max="17" width="18.7109375" style="1117" customWidth="1"/>
    <col min="18" max="19" width="12.140625" style="1117" customWidth="1"/>
    <col min="20" max="16384" width="9" style="1117"/>
  </cols>
  <sheetData>
    <row r="1" spans="1:23" ht="17.25" customHeight="1">
      <c r="A1" s="1154"/>
    </row>
    <row r="2" spans="1:23" ht="15" customHeight="1">
      <c r="B2" s="1233"/>
    </row>
    <row r="3" spans="1:23" ht="15" customHeight="1">
      <c r="B3" s="1233"/>
    </row>
    <row r="6" spans="1:23" ht="23.25">
      <c r="B6" s="1619" t="s">
        <v>1888</v>
      </c>
      <c r="P6" s="1117" t="s">
        <v>1858</v>
      </c>
    </row>
    <row r="7" spans="1:23" ht="15" customHeight="1">
      <c r="P7" s="1119"/>
      <c r="Q7" s="1234"/>
      <c r="R7" s="1234"/>
      <c r="S7" s="1234"/>
      <c r="T7" s="1234"/>
      <c r="U7" s="1234"/>
      <c r="V7" s="1234"/>
      <c r="W7" s="1234"/>
    </row>
    <row r="8" spans="1:23" ht="15" customHeight="1">
      <c r="P8" s="1119"/>
      <c r="Q8" s="1234"/>
      <c r="R8" s="1235" t="s">
        <v>517</v>
      </c>
      <c r="S8" s="1235"/>
      <c r="T8" s="1234"/>
      <c r="U8" s="1234"/>
      <c r="V8" s="1234"/>
      <c r="W8" s="1234"/>
    </row>
    <row r="9" spans="1:23" ht="15" customHeight="1">
      <c r="P9" s="1119"/>
      <c r="Q9" s="1234"/>
      <c r="R9" s="1235" t="s">
        <v>475</v>
      </c>
      <c r="S9" s="1235"/>
      <c r="T9" s="1234"/>
      <c r="U9" s="1234"/>
      <c r="V9" s="1234"/>
      <c r="W9" s="1234"/>
    </row>
    <row r="10" spans="1:23" ht="15" customHeight="1">
      <c r="P10" s="1119"/>
      <c r="Q10" s="1234"/>
      <c r="R10" s="1236"/>
      <c r="S10" s="1237"/>
      <c r="T10" s="1234"/>
      <c r="U10" s="1234"/>
      <c r="V10" s="1234"/>
      <c r="W10" s="1234"/>
    </row>
    <row r="11" spans="1:23" ht="15" customHeight="1">
      <c r="P11" s="1119"/>
      <c r="Q11" s="1234"/>
      <c r="R11" s="1238" t="s">
        <v>564</v>
      </c>
      <c r="S11" s="1238" t="s">
        <v>461</v>
      </c>
      <c r="T11" s="1239" t="s">
        <v>1889</v>
      </c>
      <c r="U11" s="1234"/>
      <c r="V11" s="1234"/>
      <c r="W11" s="1234"/>
    </row>
    <row r="12" spans="1:23" ht="15" customHeight="1">
      <c r="P12" s="1119"/>
      <c r="Q12" s="1244" t="s">
        <v>433</v>
      </c>
      <c r="R12" s="1245" t="e">
        <f ca="1">_xll.BDP($Q12,R$11)</f>
        <v>#NAME?</v>
      </c>
      <c r="S12" s="1246" t="e">
        <f ca="1">_xll.BDP($Q12,S$11)</f>
        <v>#NAME?</v>
      </c>
      <c r="T12" s="1247"/>
      <c r="U12" s="1248"/>
      <c r="V12" s="1247"/>
      <c r="W12" s="1244"/>
    </row>
    <row r="13" spans="1:23" ht="15" customHeight="1">
      <c r="P13" s="1119"/>
      <c r="Q13" s="1244" t="s">
        <v>434</v>
      </c>
      <c r="R13" s="1249" t="e">
        <f ca="1">_xll.BDP(Q13,R$11)</f>
        <v>#NAME?</v>
      </c>
      <c r="S13" s="1246" t="e">
        <f ca="1">_xll.BDP($Q13,S$11)</f>
        <v>#NAME?</v>
      </c>
      <c r="T13" s="1244"/>
      <c r="U13" s="1244"/>
      <c r="V13" s="1244"/>
      <c r="W13" s="1244"/>
    </row>
    <row r="14" spans="1:23" ht="15" customHeight="1">
      <c r="P14" s="1119"/>
      <c r="Q14" s="1244" t="s">
        <v>435</v>
      </c>
      <c r="R14" s="1249" t="e">
        <f ca="1">_xll.BDP(Q14,R$11)</f>
        <v>#NAME?</v>
      </c>
      <c r="S14" s="1246" t="e">
        <f ca="1">_xll.BDP($Q14,S$11)</f>
        <v>#NAME?</v>
      </c>
      <c r="T14" s="1244"/>
      <c r="U14" s="1244"/>
      <c r="V14" s="1244"/>
      <c r="W14" s="1244"/>
    </row>
    <row r="15" spans="1:23" ht="15" customHeight="1">
      <c r="P15" s="1119"/>
      <c r="Q15" s="1244" t="s">
        <v>436</v>
      </c>
      <c r="R15" s="1249" t="e">
        <f ca="1">_xll.BDP(Q15,R$11)</f>
        <v>#NAME?</v>
      </c>
      <c r="S15" s="1246" t="e">
        <f ca="1">_xll.BDP($Q15,S$11)</f>
        <v>#NAME?</v>
      </c>
      <c r="T15" s="1244"/>
      <c r="U15" s="1244"/>
      <c r="V15" s="1244"/>
      <c r="W15" s="1244"/>
    </row>
    <row r="16" spans="1:23" ht="15" customHeight="1">
      <c r="P16" s="1119"/>
      <c r="Q16" s="1244" t="s">
        <v>437</v>
      </c>
      <c r="R16" s="1249" t="e">
        <f ca="1">_xll.BDP(Q16,R$11)</f>
        <v>#NAME?</v>
      </c>
      <c r="S16" s="1246" t="e">
        <f ca="1">_xll.BDP($Q16,S$11)</f>
        <v>#NAME?</v>
      </c>
      <c r="T16" s="1244"/>
      <c r="U16" s="1244"/>
      <c r="V16" s="1244"/>
      <c r="W16" s="1244"/>
    </row>
    <row r="17" spans="16:26" ht="15" customHeight="1">
      <c r="P17" s="1119"/>
      <c r="Q17" s="1244" t="s">
        <v>438</v>
      </c>
      <c r="R17" s="1249" t="e">
        <f ca="1">_xll.BDP(Q17,R$11)</f>
        <v>#NAME?</v>
      </c>
      <c r="S17" s="1246" t="e">
        <f ca="1">_xll.BDP($Q17,S$11)</f>
        <v>#NAME?</v>
      </c>
      <c r="T17" s="1244"/>
      <c r="U17" s="1244"/>
      <c r="V17" s="1244"/>
      <c r="W17" s="1244"/>
    </row>
    <row r="18" spans="16:26" ht="15" customHeight="1">
      <c r="P18" s="1119"/>
      <c r="Q18" s="1244" t="s">
        <v>439</v>
      </c>
      <c r="R18" s="1249" t="e">
        <f ca="1">_xll.BDP(Q18,R$11)</f>
        <v>#NAME?</v>
      </c>
      <c r="S18" s="1246" t="e">
        <f ca="1">_xll.BDP($Q18,S$11)</f>
        <v>#NAME?</v>
      </c>
      <c r="T18" s="1244"/>
      <c r="U18" s="1244"/>
      <c r="V18" s="1244"/>
      <c r="W18" s="1244"/>
    </row>
    <row r="19" spans="16:26" ht="15" customHeight="1">
      <c r="P19" s="1119"/>
      <c r="Q19" s="1244" t="s">
        <v>440</v>
      </c>
      <c r="R19" s="1249" t="e">
        <f ca="1">_xll.BDP(Q19,R$11)</f>
        <v>#NAME?</v>
      </c>
      <c r="S19" s="1246" t="e">
        <f ca="1">_xll.BDP($Q19,S$11)</f>
        <v>#NAME?</v>
      </c>
      <c r="T19" s="1244"/>
      <c r="U19" s="1244"/>
      <c r="V19" s="1244"/>
      <c r="W19" s="1244"/>
    </row>
    <row r="20" spans="16:26" ht="15" customHeight="1">
      <c r="P20" s="1119"/>
      <c r="Q20" s="1244" t="s">
        <v>441</v>
      </c>
      <c r="R20" s="1249" t="e">
        <f ca="1">_xll.BDP(Q20,R$11)</f>
        <v>#NAME?</v>
      </c>
      <c r="S20" s="1246" t="e">
        <f ca="1">_xll.BDP($Q20,S$11)</f>
        <v>#NAME?</v>
      </c>
      <c r="T20" s="1244"/>
      <c r="U20" s="1244"/>
      <c r="V20" s="1244"/>
      <c r="W20" s="1244"/>
      <c r="Z20" s="1240"/>
    </row>
    <row r="21" spans="16:26" ht="15" customHeight="1">
      <c r="P21" s="1119"/>
      <c r="Q21" s="1244" t="s">
        <v>442</v>
      </c>
      <c r="R21" s="1249" t="e">
        <f ca="1">_xll.BDP(Q21,R$11)</f>
        <v>#NAME?</v>
      </c>
      <c r="S21" s="1246" t="e">
        <f ca="1">_xll.BDP($Q21,S$11)</f>
        <v>#NAME?</v>
      </c>
      <c r="T21" s="1244"/>
      <c r="U21" s="1244"/>
      <c r="V21" s="1244"/>
      <c r="W21" s="1244"/>
    </row>
    <row r="22" spans="16:26" ht="15" customHeight="1">
      <c r="P22" s="1119"/>
      <c r="Q22" s="1244" t="s">
        <v>443</v>
      </c>
      <c r="R22" s="1249" t="e">
        <f ca="1">_xll.BDP(Q22,R$11)</f>
        <v>#NAME?</v>
      </c>
      <c r="S22" s="1246" t="e">
        <f ca="1">_xll.BDP($Q22,S$11)</f>
        <v>#NAME?</v>
      </c>
      <c r="T22" s="1244"/>
      <c r="U22" s="1244"/>
      <c r="V22" s="1244"/>
      <c r="W22" s="1244"/>
    </row>
    <row r="23" spans="16:26" ht="15" customHeight="1">
      <c r="P23" s="1119"/>
      <c r="Q23" s="1244" t="s">
        <v>444</v>
      </c>
      <c r="R23" s="1249" t="e">
        <f ca="1">_xll.BDP(Q23,R$11)</f>
        <v>#NAME?</v>
      </c>
      <c r="S23" s="1246" t="e">
        <f ca="1">_xll.BDP($Q23,S$11)</f>
        <v>#NAME?</v>
      </c>
      <c r="T23" s="1244"/>
      <c r="U23" s="1244"/>
      <c r="V23" s="1244"/>
      <c r="W23" s="1244"/>
    </row>
    <row r="24" spans="16:26" ht="15" customHeight="1">
      <c r="P24" s="1119"/>
      <c r="Q24" s="1244" t="s">
        <v>445</v>
      </c>
      <c r="R24" s="1249" t="e">
        <f ca="1">_xll.BDP(Q24,R$11)</f>
        <v>#NAME?</v>
      </c>
      <c r="S24" s="1246" t="e">
        <f ca="1">_xll.BDP($Q24,S$11)</f>
        <v>#NAME?</v>
      </c>
      <c r="T24" s="1244"/>
      <c r="U24" s="1244"/>
      <c r="V24" s="1244"/>
      <c r="W24" s="1244"/>
    </row>
    <row r="25" spans="16:26" ht="15" customHeight="1">
      <c r="P25" s="1119"/>
      <c r="Q25" s="1244" t="s">
        <v>446</v>
      </c>
      <c r="R25" s="1249" t="e">
        <f ca="1">_xll.BDP(Q25,R$11)</f>
        <v>#NAME?</v>
      </c>
      <c r="S25" s="1246" t="e">
        <f ca="1">_xll.BDP($Q25,S$11)</f>
        <v>#NAME?</v>
      </c>
      <c r="T25" s="1244"/>
      <c r="U25" s="1244"/>
      <c r="V25" s="1244"/>
      <c r="W25" s="1244"/>
    </row>
    <row r="26" spans="16:26" ht="15" customHeight="1">
      <c r="P26" s="1119"/>
      <c r="Q26" s="1244" t="s">
        <v>447</v>
      </c>
      <c r="R26" s="1249" t="e">
        <f ca="1">_xll.BDP(Q26,R$11)</f>
        <v>#NAME?</v>
      </c>
      <c r="S26" s="1246" t="e">
        <f ca="1">_xll.BDP($Q26,S$11)</f>
        <v>#NAME?</v>
      </c>
      <c r="T26" s="1244"/>
      <c r="U26" s="1244"/>
      <c r="V26" s="1244"/>
      <c r="W26" s="1244"/>
    </row>
    <row r="27" spans="16:26" ht="15" customHeight="1">
      <c r="P27" s="1119"/>
      <c r="Q27" s="1244" t="s">
        <v>448</v>
      </c>
      <c r="R27" s="1249" t="e">
        <f ca="1">_xll.BDP(Q27,R$11)</f>
        <v>#NAME?</v>
      </c>
      <c r="S27" s="1246" t="e">
        <f ca="1">_xll.BDP($Q27,S$11)</f>
        <v>#NAME?</v>
      </c>
      <c r="T27" s="1244"/>
      <c r="U27" s="1244"/>
      <c r="V27" s="1244"/>
      <c r="W27" s="1244"/>
    </row>
    <row r="28" spans="16:26" ht="15" customHeight="1">
      <c r="P28" s="1119"/>
      <c r="Q28" s="1244" t="s">
        <v>449</v>
      </c>
      <c r="R28" s="1249" t="e">
        <f ca="1">_xll.BDP(Q28,R$11)</f>
        <v>#NAME?</v>
      </c>
      <c r="S28" s="1246" t="e">
        <f ca="1">_xll.BDP($Q28,S$11)</f>
        <v>#NAME?</v>
      </c>
      <c r="T28" s="1244"/>
      <c r="U28" s="1244"/>
      <c r="V28" s="1244"/>
      <c r="W28" s="1244"/>
    </row>
    <row r="29" spans="16:26" ht="15" customHeight="1">
      <c r="P29" s="1119"/>
      <c r="Q29" s="1244" t="s">
        <v>450</v>
      </c>
      <c r="R29" s="1249" t="e">
        <f ca="1">_xll.BDP(Q29,R$11)</f>
        <v>#NAME?</v>
      </c>
      <c r="S29" s="1246" t="e">
        <f ca="1">_xll.BDP($Q29,S$11)</f>
        <v>#NAME?</v>
      </c>
      <c r="T29" s="1244"/>
      <c r="U29" s="1244"/>
      <c r="V29" s="1244"/>
      <c r="W29" s="1244"/>
    </row>
    <row r="30" spans="16:26" ht="15" customHeight="1">
      <c r="P30" s="1119"/>
      <c r="Q30" s="1244" t="s">
        <v>451</v>
      </c>
      <c r="R30" s="1249" t="e">
        <f ca="1">_xll.BDP(Q30,R$11)</f>
        <v>#NAME?</v>
      </c>
      <c r="S30" s="1246" t="e">
        <f ca="1">_xll.BDP($Q30,S$11)</f>
        <v>#NAME?</v>
      </c>
      <c r="T30" s="1244"/>
      <c r="U30" s="1244"/>
      <c r="V30" s="1244"/>
      <c r="W30" s="1244"/>
    </row>
    <row r="31" spans="16:26" ht="15" customHeight="1">
      <c r="P31" s="1119"/>
      <c r="Q31" s="1244" t="s">
        <v>452</v>
      </c>
      <c r="R31" s="1249" t="e">
        <f ca="1">_xll.BDP(Q31,R$11)</f>
        <v>#NAME?</v>
      </c>
      <c r="S31" s="1246" t="e">
        <f ca="1">_xll.BDP($Q31,S$11)</f>
        <v>#NAME?</v>
      </c>
      <c r="T31" s="1244"/>
      <c r="U31" s="1244"/>
      <c r="V31" s="1244"/>
      <c r="W31" s="1244"/>
    </row>
    <row r="32" spans="16:26" ht="15" customHeight="1">
      <c r="P32" s="1119"/>
      <c r="Q32" s="1244" t="s">
        <v>453</v>
      </c>
      <c r="R32" s="1249" t="e">
        <f ca="1">_xll.BDP(Q32,R$11)</f>
        <v>#NAME?</v>
      </c>
      <c r="S32" s="1246" t="e">
        <f ca="1">_xll.BDP($Q32,S$11)</f>
        <v>#NAME?</v>
      </c>
      <c r="T32" s="1244"/>
      <c r="U32" s="1244"/>
      <c r="V32" s="1244"/>
      <c r="W32" s="1244"/>
    </row>
    <row r="33" spans="7:24" ht="15" customHeight="1">
      <c r="P33" s="1119"/>
      <c r="Q33" s="1244" t="s">
        <v>454</v>
      </c>
      <c r="R33" s="1249" t="e">
        <f ca="1">_xll.BDP(Q33,R$11)</f>
        <v>#NAME?</v>
      </c>
      <c r="S33" s="1246" t="e">
        <f ca="1">_xll.BDP($Q33,S$11)</f>
        <v>#NAME?</v>
      </c>
      <c r="T33" s="1244"/>
      <c r="U33" s="1244"/>
      <c r="V33" s="1244"/>
      <c r="W33" s="1244"/>
    </row>
    <row r="34" spans="7:24" ht="15" customHeight="1">
      <c r="P34" s="1119"/>
      <c r="Q34" s="1244" t="s">
        <v>455</v>
      </c>
      <c r="R34" s="1249" t="e">
        <f ca="1">_xll.BDP(Q34,R$11)</f>
        <v>#NAME?</v>
      </c>
      <c r="S34" s="1246" t="e">
        <f ca="1">_xll.BDP($Q34,S$11)</f>
        <v>#NAME?</v>
      </c>
      <c r="T34" s="1244"/>
      <c r="U34" s="1244"/>
      <c r="V34" s="1244"/>
      <c r="W34" s="1244"/>
    </row>
    <row r="35" spans="7:24" ht="15" customHeight="1">
      <c r="G35" s="1241"/>
      <c r="P35" s="1119"/>
      <c r="Q35" s="1244" t="s">
        <v>456</v>
      </c>
      <c r="R35" s="1249" t="e">
        <f ca="1">_xll.BDP(Q35,R$11)</f>
        <v>#NAME?</v>
      </c>
      <c r="S35" s="1246" t="e">
        <f ca="1">_xll.BDP($Q35,S$11)</f>
        <v>#NAME?</v>
      </c>
      <c r="T35" s="1244"/>
      <c r="U35" s="1244"/>
      <c r="V35" s="1244"/>
      <c r="W35" s="1244"/>
    </row>
    <row r="36" spans="7:24" ht="15" customHeight="1">
      <c r="P36" s="1119"/>
      <c r="Q36" s="1244" t="s">
        <v>457</v>
      </c>
      <c r="R36" s="1249" t="e">
        <f ca="1">_xll.BDP(Q36,R$11)</f>
        <v>#NAME?</v>
      </c>
      <c r="S36" s="1246" t="e">
        <f ca="1">_xll.BDP($Q36,S$11)</f>
        <v>#NAME?</v>
      </c>
      <c r="T36" s="1244"/>
      <c r="U36" s="1244"/>
      <c r="V36" s="1244"/>
      <c r="W36" s="1244"/>
    </row>
    <row r="37" spans="7:24" ht="15" customHeight="1">
      <c r="P37" s="1119"/>
      <c r="Q37" s="1244" t="s">
        <v>458</v>
      </c>
      <c r="R37" s="1249" t="e">
        <f ca="1">_xll.BDP(Q37,R$11)</f>
        <v>#NAME?</v>
      </c>
      <c r="S37" s="1246" t="e">
        <f ca="1">_xll.BDP($Q37,S$11)</f>
        <v>#NAME?</v>
      </c>
      <c r="T37" s="1244"/>
      <c r="U37" s="1244"/>
      <c r="V37" s="1244"/>
      <c r="W37" s="1244"/>
    </row>
    <row r="38" spans="7:24" ht="15" customHeight="1">
      <c r="P38" s="1119"/>
      <c r="Q38" s="1244" t="s">
        <v>457</v>
      </c>
      <c r="R38" s="1249" t="e">
        <f ca="1">_xll.BDP(Q38,R$11)</f>
        <v>#NAME?</v>
      </c>
      <c r="S38" s="1246" t="e">
        <f ca="1">_xll.BDP($Q38,S$11)</f>
        <v>#NAME?</v>
      </c>
      <c r="T38" s="1244"/>
      <c r="U38" s="1244"/>
      <c r="V38" s="1244"/>
      <c r="W38" s="1244"/>
    </row>
    <row r="39" spans="7:24" ht="15" customHeight="1">
      <c r="P39" s="1119"/>
      <c r="Q39" s="1244"/>
      <c r="R39" s="1249"/>
      <c r="S39" s="1249"/>
      <c r="T39" s="1244"/>
      <c r="U39" s="1244"/>
      <c r="V39" s="1244"/>
      <c r="W39" s="1244"/>
    </row>
    <row r="40" spans="7:24" ht="15" customHeight="1">
      <c r="P40" s="1119"/>
      <c r="Q40" s="1119"/>
      <c r="R40" s="1242"/>
      <c r="S40" s="1242"/>
      <c r="T40" s="1119"/>
      <c r="U40" s="1119"/>
      <c r="V40" s="1119"/>
      <c r="W40" s="1119"/>
      <c r="X40" s="1119"/>
    </row>
    <row r="41" spans="7:24" ht="15" customHeight="1">
      <c r="P41" s="1119"/>
      <c r="Q41" s="1119"/>
      <c r="R41" s="1119"/>
      <c r="S41" s="1119"/>
      <c r="T41" s="1119"/>
      <c r="U41" s="1119"/>
      <c r="V41" s="1119"/>
      <c r="W41" s="1119"/>
      <c r="X41" s="1119"/>
    </row>
    <row r="42" spans="7:24" ht="15" customHeight="1">
      <c r="P42" s="1119"/>
      <c r="Q42" s="1119"/>
      <c r="R42" s="1119"/>
      <c r="S42" s="1119"/>
      <c r="T42" s="1119"/>
      <c r="U42" s="1119"/>
      <c r="V42" s="1119"/>
      <c r="W42" s="1119"/>
      <c r="X42" s="1119"/>
    </row>
    <row r="43" spans="7:24" ht="15" customHeight="1">
      <c r="P43" s="1119"/>
      <c r="Q43" s="1119"/>
      <c r="R43" s="1119"/>
      <c r="S43" s="1119"/>
      <c r="T43" s="1119"/>
      <c r="U43" s="1119"/>
      <c r="V43" s="1119"/>
      <c r="W43" s="1119"/>
      <c r="X43" s="1119"/>
    </row>
    <row r="100" spans="1:1" ht="15" customHeight="1">
      <c r="A100" s="1619"/>
    </row>
  </sheetData>
  <phoneticPr fontId="0" type="noConversion"/>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sheetPr>
  <dimension ref="A1:R70"/>
  <sheetViews>
    <sheetView zoomScale="80" zoomScaleNormal="80" workbookViewId="0"/>
  </sheetViews>
  <sheetFormatPr baseColWidth="10" defaultColWidth="9" defaultRowHeight="15.75" customHeight="1"/>
  <cols>
    <col min="1" max="1" width="3.7109375" style="1183" customWidth="1"/>
    <col min="2" max="5" width="9" style="1183"/>
    <col min="6" max="6" width="4.85546875" style="1183" customWidth="1"/>
    <col min="7" max="7" width="9" style="1183"/>
    <col min="8" max="8" width="18.140625" style="1183" customWidth="1"/>
    <col min="9" max="9" width="13.42578125" style="1183" customWidth="1"/>
    <col min="10" max="12" width="9" style="1183"/>
    <col min="13" max="13" width="5.7109375" style="1183" customWidth="1"/>
    <col min="14" max="16384" width="9" style="1183"/>
  </cols>
  <sheetData>
    <row r="1" spans="1:14" ht="17.25" customHeight="1">
      <c r="A1" s="1154"/>
    </row>
    <row r="4" spans="1:14" ht="15.75" customHeight="1">
      <c r="C4" s="1170"/>
      <c r="D4" s="1170"/>
      <c r="E4" s="1170"/>
      <c r="F4" s="1170"/>
      <c r="G4" s="1170"/>
      <c r="H4" s="1170"/>
    </row>
    <row r="5" spans="1:14" ht="28.5">
      <c r="B5" s="1976" t="s">
        <v>2016</v>
      </c>
      <c r="C5" s="1170"/>
      <c r="D5" s="1170"/>
      <c r="E5" s="1170"/>
      <c r="F5" s="1170"/>
      <c r="G5" s="1170"/>
      <c r="H5" s="1170"/>
      <c r="I5" s="1170"/>
      <c r="J5" s="1170"/>
      <c r="N5" s="1184" t="s">
        <v>2017</v>
      </c>
    </row>
    <row r="6" spans="1:14" ht="15" customHeight="1">
      <c r="C6" s="1170"/>
      <c r="D6" s="1170"/>
      <c r="E6" s="1170"/>
      <c r="F6" s="1170"/>
      <c r="G6" s="1170"/>
      <c r="H6" s="1170"/>
      <c r="I6" s="1170"/>
      <c r="J6" s="1170"/>
      <c r="N6" s="1158"/>
    </row>
    <row r="7" spans="1:14" ht="15" customHeight="1">
      <c r="B7" s="1119"/>
      <c r="C7" s="1119"/>
      <c r="D7" s="1119"/>
      <c r="E7" s="1119"/>
      <c r="F7" s="1170"/>
      <c r="G7" s="1170"/>
      <c r="H7" s="1170"/>
      <c r="I7" s="1170"/>
      <c r="J7" s="1170"/>
      <c r="N7" s="1158"/>
    </row>
    <row r="8" spans="1:14" ht="15" customHeight="1">
      <c r="B8" s="1118"/>
      <c r="C8" s="1118"/>
      <c r="D8" s="1119"/>
      <c r="E8" s="1119"/>
      <c r="F8" s="1170"/>
      <c r="G8" s="1170"/>
      <c r="H8" s="1170"/>
      <c r="I8" s="1170"/>
      <c r="J8" s="1170"/>
    </row>
    <row r="9" spans="1:14" ht="15" customHeight="1">
      <c r="B9" s="1185"/>
      <c r="C9" s="1118"/>
      <c r="D9" s="1119"/>
      <c r="E9" s="1119"/>
      <c r="F9" s="1170"/>
      <c r="G9" s="1170"/>
      <c r="H9" s="1170"/>
      <c r="I9" s="1170"/>
      <c r="J9" s="1170"/>
    </row>
    <row r="10" spans="1:14" ht="15" customHeight="1">
      <c r="B10" s="1118"/>
      <c r="C10" s="1118"/>
      <c r="D10" s="1119"/>
      <c r="E10" s="1119"/>
      <c r="F10" s="1170"/>
      <c r="G10" s="1170"/>
      <c r="H10" s="1170"/>
      <c r="J10" s="1170"/>
    </row>
    <row r="11" spans="1:14" ht="15" customHeight="1">
      <c r="B11" s="1118"/>
      <c r="C11" s="1118"/>
      <c r="D11" s="1119"/>
      <c r="E11" s="1119"/>
      <c r="F11" s="1170"/>
      <c r="G11" s="1170"/>
      <c r="H11" s="1170"/>
      <c r="I11" s="1170"/>
      <c r="J11" s="1170"/>
    </row>
    <row r="12" spans="1:14" ht="15" customHeight="1">
      <c r="B12" s="1118"/>
      <c r="C12" s="1118"/>
      <c r="D12" s="1119"/>
      <c r="E12" s="1119"/>
      <c r="F12" s="1170"/>
      <c r="G12" s="1170"/>
      <c r="H12" s="1170"/>
      <c r="I12" s="1170"/>
      <c r="J12" s="1170"/>
    </row>
    <row r="13" spans="1:14" ht="15" customHeight="1">
      <c r="B13" s="1118"/>
      <c r="C13" s="1118"/>
      <c r="D13" s="1119"/>
      <c r="E13" s="1119"/>
      <c r="F13" s="1170"/>
      <c r="G13" s="1170"/>
      <c r="H13" s="1170"/>
      <c r="I13" s="1170"/>
      <c r="J13" s="1170"/>
    </row>
    <row r="14" spans="1:14" ht="15" customHeight="1">
      <c r="B14" s="1118"/>
      <c r="C14" s="1118"/>
      <c r="D14" s="1119"/>
      <c r="E14" s="1119"/>
      <c r="F14" s="1170"/>
      <c r="G14" s="1170"/>
      <c r="H14" s="1170"/>
      <c r="I14" s="1170"/>
      <c r="J14" s="1170"/>
    </row>
    <row r="15" spans="1:14" ht="15" customHeight="1">
      <c r="B15" s="1118"/>
      <c r="C15" s="1118"/>
      <c r="D15" s="1119"/>
      <c r="E15" s="1119"/>
      <c r="F15" s="1170"/>
      <c r="G15" s="1170"/>
      <c r="H15" s="1170"/>
      <c r="I15" s="1170"/>
      <c r="J15" s="1170"/>
    </row>
    <row r="16" spans="1:14" ht="15" customHeight="1">
      <c r="G16" s="1170"/>
      <c r="H16" s="1170"/>
      <c r="I16" s="1170"/>
      <c r="J16" s="1170"/>
    </row>
    <row r="17" spans="2:18" ht="15" customHeight="1">
      <c r="G17" s="1170"/>
      <c r="H17" s="1170"/>
      <c r="I17" s="1170"/>
      <c r="J17" s="1170"/>
    </row>
    <row r="18" spans="2:18" ht="21">
      <c r="B18" s="1186"/>
      <c r="G18" s="1170"/>
      <c r="H18" s="1170"/>
      <c r="I18" s="1170"/>
      <c r="J18" s="1170"/>
    </row>
    <row r="19" spans="2:18" ht="15" customHeight="1">
      <c r="G19" s="1170"/>
      <c r="H19" s="1170"/>
      <c r="I19" s="1170"/>
      <c r="J19" s="1170"/>
    </row>
    <row r="20" spans="2:18" ht="15" customHeight="1">
      <c r="G20" s="1170"/>
      <c r="H20" s="1170"/>
      <c r="I20" s="1170"/>
      <c r="J20" s="1170"/>
    </row>
    <row r="21" spans="2:18" ht="15" customHeight="1">
      <c r="G21" s="1170"/>
      <c r="H21" s="1170"/>
      <c r="I21" s="1170"/>
      <c r="J21" s="1170"/>
    </row>
    <row r="22" spans="2:18" ht="15" customHeight="1">
      <c r="B22" s="1187"/>
      <c r="C22" s="1170"/>
      <c r="D22" s="1170"/>
      <c r="E22" s="1170"/>
      <c r="F22" s="1170"/>
      <c r="G22" s="1170"/>
      <c r="H22" s="1170"/>
    </row>
    <row r="23" spans="2:18" ht="15" customHeight="1">
      <c r="B23" s="1187"/>
      <c r="C23" s="1170"/>
      <c r="D23" s="1170"/>
      <c r="E23" s="1170"/>
      <c r="F23" s="1170"/>
      <c r="G23" s="1170"/>
      <c r="H23" s="1170"/>
      <c r="I23" s="1170"/>
      <c r="J23" s="1170"/>
      <c r="K23" s="1170"/>
      <c r="L23" s="1170"/>
      <c r="M23" s="1170"/>
      <c r="N23" s="1170"/>
      <c r="O23" s="1170"/>
      <c r="P23" s="1170"/>
      <c r="Q23" s="1170"/>
      <c r="R23" s="1170"/>
    </row>
    <row r="24" spans="2:18" ht="15" customHeight="1">
      <c r="C24" s="1170"/>
      <c r="D24" s="1170"/>
      <c r="E24" s="1170"/>
      <c r="F24" s="1170"/>
      <c r="G24" s="1170"/>
      <c r="H24" s="1170"/>
      <c r="I24" s="1170"/>
      <c r="J24" s="1170"/>
      <c r="K24" s="1170"/>
      <c r="L24" s="1170"/>
      <c r="M24" s="1170"/>
      <c r="N24" s="1170"/>
      <c r="O24" s="1170"/>
      <c r="P24" s="1170"/>
      <c r="Q24" s="1170"/>
      <c r="R24" s="1170"/>
    </row>
    <row r="25" spans="2:18" ht="15" customHeight="1">
      <c r="C25" s="1170"/>
      <c r="D25" s="1170"/>
      <c r="E25" s="1170"/>
      <c r="F25" s="1170"/>
      <c r="G25" s="1170"/>
      <c r="H25" s="1170"/>
      <c r="I25" s="1170"/>
      <c r="J25" s="1170"/>
      <c r="K25" s="1170"/>
      <c r="L25" s="1170"/>
      <c r="M25" s="1170"/>
      <c r="N25" s="1170"/>
      <c r="O25" s="1170"/>
      <c r="P25" s="1170"/>
      <c r="Q25" s="1170"/>
      <c r="R25" s="1170"/>
    </row>
    <row r="26" spans="2:18" ht="15" customHeight="1">
      <c r="B26" s="1170"/>
      <c r="C26" s="1170"/>
      <c r="D26" s="1170"/>
      <c r="E26" s="1170"/>
      <c r="F26" s="1170"/>
      <c r="G26" s="1170"/>
      <c r="H26" s="1170"/>
      <c r="I26" s="1170"/>
      <c r="J26" s="1170"/>
      <c r="K26" s="1170"/>
      <c r="L26" s="1170"/>
      <c r="M26" s="1170"/>
      <c r="N26" s="1170"/>
      <c r="O26" s="1170"/>
      <c r="P26" s="1170"/>
      <c r="Q26" s="1170"/>
      <c r="R26" s="1170"/>
    </row>
    <row r="27" spans="2:18" ht="15" customHeight="1">
      <c r="B27" s="1170"/>
      <c r="C27" s="1170"/>
      <c r="D27" s="1170"/>
      <c r="E27" s="1170"/>
      <c r="F27" s="1170"/>
      <c r="G27" s="1170"/>
      <c r="H27" s="1170"/>
      <c r="I27" s="1170"/>
      <c r="J27" s="1170"/>
      <c r="K27" s="1170"/>
      <c r="L27" s="1170"/>
      <c r="M27" s="1170"/>
      <c r="N27" s="1170"/>
      <c r="O27" s="1170"/>
      <c r="P27" s="1170"/>
      <c r="Q27" s="1170"/>
      <c r="R27" s="1170"/>
    </row>
    <row r="28" spans="2:18" ht="15" customHeight="1">
      <c r="B28" s="1170"/>
      <c r="C28" s="1170"/>
      <c r="D28" s="1170"/>
      <c r="E28" s="1170"/>
      <c r="F28" s="1170"/>
      <c r="G28" s="1170"/>
      <c r="H28" s="1170"/>
      <c r="I28" s="1170"/>
      <c r="J28" s="1170"/>
      <c r="K28" s="1170"/>
      <c r="L28" s="1170"/>
      <c r="M28" s="1170"/>
      <c r="N28" s="1170"/>
      <c r="O28" s="1170"/>
      <c r="P28" s="1170"/>
      <c r="Q28" s="1170"/>
      <c r="R28" s="1170"/>
    </row>
    <row r="29" spans="2:18" ht="15" customHeight="1">
      <c r="B29" s="1170"/>
      <c r="C29" s="1170"/>
      <c r="D29" s="1170"/>
      <c r="E29" s="1170"/>
      <c r="F29" s="1170"/>
      <c r="G29" s="1170"/>
      <c r="H29" s="1170"/>
      <c r="I29" s="1170"/>
      <c r="J29" s="1170"/>
      <c r="K29" s="1170"/>
      <c r="L29" s="1170"/>
      <c r="M29" s="1170"/>
      <c r="N29" s="1170"/>
      <c r="O29" s="1170"/>
      <c r="P29" s="1170"/>
      <c r="Q29" s="1170"/>
      <c r="R29" s="1170"/>
    </row>
    <row r="30" spans="2:18" ht="15" customHeight="1">
      <c r="B30" s="1170"/>
      <c r="C30" s="1170"/>
      <c r="D30" s="1170"/>
      <c r="E30" s="1170"/>
      <c r="F30" s="1170"/>
      <c r="G30" s="1170"/>
      <c r="H30" s="1170"/>
      <c r="I30" s="1170"/>
      <c r="J30" s="1170"/>
      <c r="K30" s="1170"/>
      <c r="L30" s="1170"/>
      <c r="M30" s="1170"/>
      <c r="N30" s="1170"/>
      <c r="O30" s="1170"/>
      <c r="P30" s="1170"/>
      <c r="Q30" s="1170"/>
      <c r="R30" s="1170"/>
    </row>
    <row r="31" spans="2:18" ht="15" customHeight="1">
      <c r="B31" s="1170"/>
      <c r="C31" s="1170"/>
      <c r="D31" s="1170"/>
      <c r="E31" s="1170"/>
      <c r="F31" s="1170"/>
      <c r="G31" s="1170"/>
      <c r="H31" s="1170"/>
      <c r="I31" s="1170"/>
      <c r="J31" s="1170"/>
      <c r="K31" s="1170"/>
      <c r="L31" s="1170"/>
      <c r="M31" s="1170"/>
      <c r="N31" s="1170"/>
      <c r="O31" s="1170"/>
      <c r="P31" s="1170"/>
      <c r="Q31" s="1170"/>
      <c r="R31" s="1170"/>
    </row>
    <row r="32" spans="2:18" ht="15" customHeight="1">
      <c r="B32" s="1170"/>
      <c r="C32" s="1170"/>
      <c r="D32" s="1170"/>
      <c r="E32" s="1170"/>
      <c r="F32" s="1170"/>
      <c r="G32" s="1170"/>
      <c r="H32" s="1170"/>
      <c r="I32" s="1170"/>
      <c r="J32" s="1170"/>
      <c r="K32" s="1170"/>
      <c r="L32" s="1170"/>
      <c r="M32" s="1170"/>
      <c r="N32" s="1170"/>
      <c r="O32" s="1170"/>
      <c r="P32" s="1170"/>
      <c r="Q32" s="1170"/>
      <c r="R32" s="1170"/>
    </row>
    <row r="33" spans="2:18" ht="15" customHeight="1">
      <c r="B33" s="1170"/>
      <c r="C33" s="1170"/>
      <c r="D33" s="1170"/>
      <c r="E33" s="1170"/>
      <c r="F33" s="1170"/>
      <c r="G33" s="1170"/>
      <c r="H33" s="1170"/>
      <c r="I33" s="1170"/>
      <c r="J33" s="1170"/>
      <c r="K33" s="1170"/>
      <c r="L33" s="1170"/>
      <c r="M33" s="1170"/>
      <c r="N33" s="1170"/>
      <c r="O33" s="1170"/>
      <c r="P33" s="1170"/>
      <c r="Q33" s="1170"/>
      <c r="R33" s="1170"/>
    </row>
    <row r="34" spans="2:18" ht="15" customHeight="1">
      <c r="B34" s="1170"/>
      <c r="C34" s="1170"/>
      <c r="D34" s="1170"/>
      <c r="E34" s="1170"/>
      <c r="F34" s="1170"/>
      <c r="G34" s="1170"/>
      <c r="H34" s="1170"/>
      <c r="I34" s="1170"/>
      <c r="J34" s="1170"/>
      <c r="K34" s="1170"/>
      <c r="L34" s="1170"/>
      <c r="M34" s="1170"/>
      <c r="N34" s="1170"/>
      <c r="O34" s="1170"/>
      <c r="P34" s="1170"/>
      <c r="Q34" s="1170"/>
      <c r="R34" s="1170"/>
    </row>
    <row r="35" spans="2:18" ht="15" customHeight="1">
      <c r="B35" s="1170"/>
      <c r="C35" s="1170"/>
      <c r="D35" s="1170"/>
      <c r="E35" s="1170"/>
      <c r="F35" s="1170"/>
      <c r="G35" s="1170"/>
      <c r="H35" s="1170"/>
      <c r="I35" s="1170"/>
      <c r="J35" s="1170"/>
      <c r="K35" s="1170"/>
      <c r="L35" s="1170"/>
      <c r="M35" s="1170"/>
      <c r="N35" s="1170"/>
      <c r="O35" s="1170"/>
      <c r="P35" s="1170"/>
      <c r="Q35" s="1170"/>
      <c r="R35" s="1170"/>
    </row>
    <row r="36" spans="2:18" ht="15" customHeight="1">
      <c r="B36" s="1170"/>
      <c r="C36" s="1170"/>
      <c r="H36" s="1170"/>
      <c r="I36" s="1170"/>
      <c r="J36" s="1170"/>
      <c r="K36" s="1170"/>
      <c r="L36" s="1170"/>
      <c r="M36" s="1170"/>
      <c r="N36" s="1170"/>
      <c r="O36" s="1170"/>
      <c r="P36" s="1170"/>
      <c r="Q36" s="1170"/>
      <c r="R36" s="1170"/>
    </row>
    <row r="37" spans="2:18" ht="23.25">
      <c r="B37" s="1186"/>
      <c r="C37" s="1170"/>
      <c r="D37" s="1170"/>
      <c r="E37" s="1977" t="s">
        <v>2019</v>
      </c>
      <c r="F37" s="1170"/>
      <c r="G37" s="1170"/>
      <c r="H37" s="1170"/>
      <c r="I37" s="1170"/>
      <c r="J37" s="1170"/>
      <c r="K37" s="1170"/>
      <c r="L37" s="1170"/>
      <c r="M37" s="1170"/>
      <c r="N37" s="1170"/>
      <c r="O37" s="1170"/>
      <c r="Q37" s="1170"/>
      <c r="R37" s="1170"/>
    </row>
    <row r="38" spans="2:18" ht="15" customHeight="1">
      <c r="B38" s="1170"/>
      <c r="C38" s="1170"/>
      <c r="D38" s="1170"/>
      <c r="E38" s="1170"/>
      <c r="F38" s="1170"/>
      <c r="G38" s="1170"/>
      <c r="H38" s="1170"/>
      <c r="I38" s="1170"/>
      <c r="J38" s="1170"/>
      <c r="K38" s="1170"/>
      <c r="L38" s="1170"/>
      <c r="M38" s="1170"/>
      <c r="N38" s="1170"/>
      <c r="O38" s="1170"/>
      <c r="P38" s="1170"/>
      <c r="Q38" s="1170"/>
      <c r="R38" s="1170"/>
    </row>
    <row r="39" spans="2:18" ht="15" customHeight="1">
      <c r="B39" s="1170"/>
      <c r="C39" s="1170"/>
      <c r="D39" s="1170"/>
      <c r="E39" s="1170"/>
      <c r="F39" s="1170"/>
      <c r="G39" s="1170"/>
      <c r="H39" s="1170"/>
      <c r="I39" s="1170"/>
      <c r="J39" s="1170"/>
      <c r="K39" s="1170"/>
      <c r="L39" s="1170"/>
      <c r="M39" s="1170"/>
      <c r="N39" s="1170"/>
      <c r="O39" s="1170"/>
      <c r="P39" s="1170"/>
      <c r="Q39" s="1170"/>
      <c r="R39" s="1170"/>
    </row>
    <row r="40" spans="2:18" ht="15" customHeight="1">
      <c r="B40" s="1170"/>
      <c r="C40" s="1170"/>
      <c r="D40" s="1170"/>
      <c r="E40" s="1170"/>
      <c r="F40" s="1170"/>
      <c r="G40" s="1170"/>
      <c r="H40" s="1170"/>
      <c r="I40" s="1170"/>
      <c r="J40" s="1170"/>
      <c r="K40" s="1170"/>
      <c r="L40" s="1170"/>
      <c r="M40" s="1170"/>
      <c r="N40" s="1170"/>
      <c r="O40" s="1170"/>
      <c r="P40" s="1170"/>
      <c r="Q40" s="1170"/>
      <c r="R40" s="1170"/>
    </row>
    <row r="41" spans="2:18" ht="15" customHeight="1">
      <c r="B41" s="1170"/>
      <c r="C41" s="1170"/>
      <c r="D41" s="1170"/>
      <c r="E41" s="1170"/>
      <c r="F41" s="1170"/>
      <c r="G41" s="1170"/>
      <c r="H41" s="1170"/>
      <c r="I41" s="1170"/>
      <c r="J41" s="1170"/>
      <c r="K41" s="1170"/>
      <c r="L41" s="1170"/>
      <c r="M41" s="1170"/>
      <c r="N41" s="1170"/>
      <c r="O41" s="1170"/>
      <c r="P41" s="1170"/>
      <c r="Q41" s="1170"/>
      <c r="R41" s="1170"/>
    </row>
    <row r="42" spans="2:18" ht="15" customHeight="1">
      <c r="B42" s="1170"/>
      <c r="C42" s="1170"/>
      <c r="D42" s="1170"/>
      <c r="E42" s="1170"/>
      <c r="F42" s="1170"/>
      <c r="G42" s="1170"/>
      <c r="H42" s="1170"/>
      <c r="I42" s="1170"/>
      <c r="J42" s="1170"/>
      <c r="K42" s="1170"/>
      <c r="L42" s="1170"/>
      <c r="M42" s="1170"/>
      <c r="N42" s="1170"/>
      <c r="O42" s="1170"/>
      <c r="P42" s="1170"/>
      <c r="Q42" s="1170"/>
      <c r="R42" s="1170"/>
    </row>
    <row r="43" spans="2:18" ht="15" customHeight="1">
      <c r="B43" s="1187"/>
      <c r="C43" s="1170"/>
      <c r="D43" s="1170"/>
      <c r="E43" s="1170"/>
      <c r="F43" s="1170"/>
      <c r="G43" s="1170"/>
      <c r="H43" s="1170"/>
      <c r="I43" s="1170"/>
      <c r="J43" s="1170"/>
      <c r="K43" s="1170"/>
      <c r="L43" s="1170"/>
      <c r="M43" s="1170"/>
      <c r="N43" s="1170"/>
      <c r="O43" s="1170"/>
      <c r="P43" s="1170"/>
      <c r="Q43" s="1170"/>
      <c r="R43" s="1170"/>
    </row>
    <row r="44" spans="2:18" ht="15.75" customHeight="1">
      <c r="B44" s="1187"/>
      <c r="C44" s="1170"/>
      <c r="D44" s="1170"/>
      <c r="E44" s="1170"/>
      <c r="F44" s="1170"/>
      <c r="G44" s="1170"/>
      <c r="H44" s="1170"/>
      <c r="I44" s="1170"/>
      <c r="J44" s="1170"/>
      <c r="K44" s="1170"/>
      <c r="L44" s="1170"/>
      <c r="M44" s="1170"/>
      <c r="N44" s="1170"/>
      <c r="O44" s="1170"/>
      <c r="P44" s="1170"/>
      <c r="Q44" s="1170"/>
      <c r="R44" s="1170"/>
    </row>
    <row r="45" spans="2:18" ht="15.75" customHeight="1">
      <c r="B45" s="1170"/>
      <c r="C45" s="1170"/>
      <c r="D45" s="1170"/>
      <c r="E45" s="1170"/>
      <c r="F45" s="1170"/>
      <c r="G45" s="1170"/>
      <c r="H45" s="1170"/>
      <c r="I45" s="1170"/>
      <c r="J45" s="1170"/>
      <c r="K45" s="1170"/>
      <c r="L45" s="1170"/>
      <c r="M45" s="1170"/>
      <c r="N45" s="1170"/>
      <c r="O45" s="1170"/>
      <c r="P45" s="1170"/>
      <c r="Q45" s="1170"/>
      <c r="R45" s="1170"/>
    </row>
    <row r="46" spans="2:18" ht="15.75" customHeight="1">
      <c r="B46" s="1170"/>
      <c r="C46" s="1170"/>
      <c r="D46" s="1170"/>
      <c r="E46" s="1170"/>
      <c r="F46" s="1170"/>
      <c r="H46" s="1170"/>
      <c r="I46" s="1170"/>
      <c r="J46" s="1170"/>
      <c r="K46" s="1170"/>
      <c r="L46" s="1170"/>
      <c r="M46" s="1170"/>
      <c r="N46" s="1170"/>
      <c r="O46" s="1170"/>
      <c r="P46" s="1170"/>
      <c r="Q46" s="1170"/>
      <c r="R46" s="1170"/>
    </row>
    <row r="47" spans="2:18" ht="15.75" customHeight="1">
      <c r="B47" s="1170"/>
      <c r="C47" s="1170"/>
      <c r="D47" s="1170"/>
      <c r="E47" s="1170"/>
      <c r="F47" s="1170"/>
      <c r="H47" s="1170"/>
      <c r="I47" s="1170"/>
      <c r="J47" s="1170"/>
      <c r="K47" s="1170"/>
      <c r="L47" s="1170"/>
      <c r="M47" s="1170"/>
      <c r="N47" s="1170"/>
      <c r="Q47" s="1977" t="s">
        <v>2018</v>
      </c>
    </row>
    <row r="48" spans="2:18" ht="15.75" customHeight="1">
      <c r="B48" s="1170"/>
      <c r="C48" s="1170"/>
      <c r="D48" s="1170"/>
      <c r="E48" s="1170"/>
      <c r="F48" s="1170"/>
      <c r="G48" s="1170"/>
      <c r="H48" s="1170"/>
      <c r="I48" s="1170"/>
      <c r="J48" s="1170"/>
      <c r="K48" s="1170"/>
      <c r="L48" s="1170"/>
      <c r="M48" s="1170"/>
      <c r="N48" s="1170"/>
    </row>
    <row r="49" spans="2:18" ht="15.75" customHeight="1">
      <c r="B49" s="1170"/>
      <c r="C49" s="1170"/>
      <c r="D49" s="1170"/>
      <c r="E49" s="1170"/>
      <c r="F49" s="1170"/>
      <c r="G49" s="1170"/>
      <c r="H49" s="1170"/>
      <c r="I49" s="1170"/>
      <c r="J49" s="1170"/>
      <c r="K49" s="1170"/>
      <c r="L49" s="1170"/>
      <c r="M49" s="1170"/>
      <c r="N49" s="1170"/>
    </row>
    <row r="50" spans="2:18" ht="15.75" customHeight="1">
      <c r="B50" s="1170"/>
      <c r="C50" s="1170"/>
      <c r="D50" s="1170"/>
      <c r="E50" s="1170"/>
      <c r="F50" s="1170"/>
      <c r="G50" s="1170"/>
      <c r="H50" s="1170"/>
      <c r="I50" s="1170"/>
      <c r="J50" s="1170"/>
      <c r="K50" s="1170"/>
      <c r="L50" s="1170"/>
      <c r="M50" s="1170"/>
      <c r="N50" s="1170"/>
    </row>
    <row r="51" spans="2:18" ht="15.75" customHeight="1">
      <c r="B51" s="1170"/>
      <c r="C51" s="1170"/>
      <c r="D51" s="1170"/>
      <c r="E51" s="1170"/>
      <c r="F51" s="1170"/>
      <c r="G51" s="1170"/>
      <c r="H51" s="1170"/>
      <c r="I51" s="1170"/>
      <c r="J51" s="1170"/>
      <c r="K51" s="1170"/>
      <c r="L51" s="1170"/>
      <c r="M51" s="1170"/>
      <c r="N51" s="1170"/>
    </row>
    <row r="52" spans="2:18" ht="15.75" customHeight="1">
      <c r="B52" s="1170"/>
      <c r="C52" s="1170"/>
      <c r="D52" s="1170"/>
      <c r="E52" s="1170"/>
      <c r="F52" s="1170"/>
      <c r="G52" s="1170"/>
      <c r="H52" s="1170"/>
      <c r="I52" s="1170"/>
      <c r="J52" s="1170"/>
      <c r="K52" s="1170"/>
      <c r="L52" s="1170"/>
      <c r="M52" s="1170"/>
      <c r="N52" s="1170"/>
    </row>
    <row r="53" spans="2:18" ht="15.75" customHeight="1">
      <c r="B53" s="1170"/>
      <c r="C53" s="1170"/>
      <c r="D53" s="1170"/>
      <c r="E53" s="1170"/>
      <c r="F53" s="1170"/>
      <c r="G53" s="1170"/>
      <c r="H53" s="1170"/>
      <c r="I53" s="1170"/>
      <c r="J53" s="1170"/>
      <c r="K53" s="1170"/>
      <c r="L53" s="1170"/>
      <c r="M53" s="1170"/>
      <c r="N53" s="1170"/>
    </row>
    <row r="54" spans="2:18" ht="15.75" customHeight="1">
      <c r="B54" s="1170"/>
      <c r="C54" s="1170"/>
      <c r="D54" s="1170"/>
      <c r="E54" s="1170"/>
      <c r="F54" s="1170"/>
      <c r="G54" s="1170"/>
      <c r="H54" s="1170"/>
      <c r="I54" s="1170"/>
      <c r="J54" s="1170"/>
      <c r="K54" s="1170"/>
      <c r="L54" s="1170"/>
      <c r="M54" s="1170"/>
      <c r="N54" s="1170"/>
    </row>
    <row r="55" spans="2:18" ht="15.75" customHeight="1">
      <c r="B55" s="1170"/>
      <c r="C55" s="1170"/>
      <c r="D55" s="1170"/>
      <c r="E55" s="1170"/>
      <c r="F55" s="1170"/>
      <c r="G55" s="1170"/>
      <c r="H55" s="1170"/>
      <c r="I55" s="1170"/>
      <c r="J55" s="1170"/>
      <c r="K55" s="1170"/>
      <c r="L55" s="1170"/>
      <c r="M55" s="1170"/>
      <c r="N55" s="1170"/>
    </row>
    <row r="56" spans="2:18" ht="15.75" customHeight="1">
      <c r="B56" s="1170"/>
      <c r="C56" s="1170"/>
      <c r="D56" s="1170"/>
      <c r="E56" s="1170"/>
      <c r="F56" s="1170"/>
      <c r="G56" s="1170"/>
      <c r="H56" s="1170"/>
      <c r="I56" s="1170"/>
      <c r="J56" s="1170"/>
      <c r="K56" s="1170"/>
      <c r="L56" s="1170"/>
      <c r="M56" s="1170"/>
      <c r="N56" s="1170"/>
    </row>
    <row r="57" spans="2:18" ht="15.75" customHeight="1">
      <c r="B57" s="1170"/>
      <c r="C57" s="1170"/>
      <c r="D57" s="1170"/>
      <c r="E57" s="1170"/>
      <c r="F57" s="1170"/>
      <c r="G57" s="1170"/>
      <c r="H57" s="1170"/>
      <c r="I57" s="1170"/>
      <c r="J57" s="1170"/>
      <c r="K57" s="1170"/>
      <c r="L57" s="1170"/>
      <c r="M57" s="1170"/>
      <c r="N57" s="1170"/>
      <c r="O57" s="1170"/>
      <c r="P57" s="1170"/>
      <c r="Q57" s="1170"/>
      <c r="R57" s="1170"/>
    </row>
    <row r="58" spans="2:18" ht="15.75" customHeight="1">
      <c r="B58" s="1170"/>
      <c r="C58" s="1170"/>
      <c r="D58" s="1170"/>
      <c r="E58" s="1170"/>
      <c r="F58" s="1170"/>
      <c r="G58" s="1170"/>
      <c r="H58" s="1170"/>
      <c r="I58" s="1170"/>
      <c r="J58" s="1170"/>
      <c r="K58" s="1170"/>
      <c r="L58" s="1170"/>
      <c r="M58" s="1170"/>
      <c r="N58" s="1170"/>
      <c r="O58" s="1170"/>
      <c r="P58" s="1170"/>
      <c r="Q58" s="1170"/>
      <c r="R58" s="1170"/>
    </row>
    <row r="59" spans="2:18" ht="15.75" customHeight="1">
      <c r="B59" s="1170"/>
      <c r="C59" s="1170"/>
      <c r="D59" s="1170"/>
      <c r="E59" s="1170"/>
      <c r="F59" s="1170"/>
      <c r="G59" s="1170"/>
      <c r="H59" s="1170"/>
      <c r="I59" s="1170"/>
      <c r="J59" s="1170"/>
      <c r="K59" s="1170"/>
      <c r="L59" s="1170"/>
      <c r="M59" s="1170"/>
      <c r="N59" s="1170"/>
      <c r="O59" s="1170"/>
      <c r="P59" s="1170"/>
      <c r="Q59" s="1170"/>
      <c r="R59" s="1170"/>
    </row>
    <row r="60" spans="2:18" ht="15.75" customHeight="1">
      <c r="B60" s="1170"/>
      <c r="C60" s="1170"/>
      <c r="D60" s="1170"/>
      <c r="E60" s="1170"/>
      <c r="F60" s="1170"/>
      <c r="G60" s="1170"/>
      <c r="H60" s="1170"/>
      <c r="I60" s="1170"/>
      <c r="J60" s="1170"/>
      <c r="K60" s="1170"/>
      <c r="L60" s="1170"/>
      <c r="M60" s="1170"/>
      <c r="N60" s="1170"/>
      <c r="O60" s="1170"/>
      <c r="P60" s="1170"/>
      <c r="Q60" s="1170"/>
      <c r="R60" s="1170"/>
    </row>
    <row r="61" spans="2:18" ht="15.75" customHeight="1">
      <c r="B61" s="1170"/>
      <c r="C61" s="1170"/>
      <c r="D61" s="1170"/>
      <c r="E61" s="1170"/>
      <c r="F61" s="1170"/>
      <c r="G61" s="1170"/>
      <c r="H61" s="1170"/>
      <c r="I61" s="1170"/>
      <c r="J61" s="1170"/>
      <c r="K61" s="1170"/>
      <c r="L61" s="1170"/>
      <c r="M61" s="1170"/>
      <c r="N61" s="1170"/>
      <c r="O61" s="1170"/>
      <c r="P61" s="1170"/>
      <c r="Q61" s="1170"/>
      <c r="R61" s="1170"/>
    </row>
    <row r="62" spans="2:18" ht="15.75" customHeight="1">
      <c r="B62" s="1170"/>
      <c r="C62" s="1170"/>
      <c r="D62" s="1170"/>
      <c r="E62" s="1170"/>
      <c r="F62" s="1170"/>
      <c r="G62" s="1170"/>
      <c r="H62" s="1170"/>
      <c r="I62" s="1170"/>
      <c r="J62" s="1170"/>
      <c r="K62" s="1170"/>
      <c r="L62" s="1170"/>
      <c r="M62" s="1170"/>
      <c r="N62" s="1170"/>
      <c r="O62" s="1170"/>
      <c r="P62" s="1170"/>
      <c r="Q62" s="1170"/>
      <c r="R62" s="1170"/>
    </row>
    <row r="63" spans="2:18" ht="15.75" customHeight="1">
      <c r="B63" s="1170"/>
      <c r="C63" s="1170"/>
      <c r="D63" s="1170"/>
      <c r="E63" s="1170"/>
      <c r="F63" s="1170"/>
      <c r="G63" s="1170"/>
      <c r="H63" s="1170"/>
      <c r="I63" s="1170"/>
      <c r="J63" s="1170"/>
      <c r="K63" s="1170"/>
      <c r="L63" s="1170"/>
      <c r="M63" s="1170"/>
      <c r="N63" s="1170"/>
      <c r="O63" s="1170"/>
      <c r="P63" s="1170"/>
      <c r="Q63" s="1170"/>
      <c r="R63" s="1170"/>
    </row>
    <row r="64" spans="2:18" ht="15.75" customHeight="1">
      <c r="B64" s="1170"/>
      <c r="C64" s="1170"/>
      <c r="D64" s="1170"/>
      <c r="E64" s="1170"/>
      <c r="F64" s="1170"/>
      <c r="G64" s="1170"/>
      <c r="H64" s="1170"/>
      <c r="I64" s="1170"/>
      <c r="J64" s="1170"/>
      <c r="K64" s="1170"/>
      <c r="L64" s="1170"/>
      <c r="M64" s="1170"/>
      <c r="N64" s="1170"/>
      <c r="O64" s="1170"/>
      <c r="P64" s="1170"/>
      <c r="Q64" s="1170"/>
      <c r="R64" s="1170"/>
    </row>
    <row r="65" spans="2:18" ht="15.75" customHeight="1">
      <c r="B65" s="1170"/>
      <c r="C65" s="1170"/>
      <c r="D65" s="1170"/>
      <c r="E65" s="1170"/>
      <c r="F65" s="1170"/>
      <c r="G65" s="1170"/>
      <c r="H65" s="1170"/>
      <c r="I65" s="1170"/>
      <c r="J65" s="1170"/>
      <c r="K65" s="1170"/>
      <c r="L65" s="1170"/>
      <c r="M65" s="1170"/>
      <c r="N65" s="1170"/>
      <c r="O65" s="1170"/>
      <c r="P65" s="1170"/>
      <c r="Q65" s="1170"/>
      <c r="R65" s="1170"/>
    </row>
    <row r="66" spans="2:18" ht="15.75" customHeight="1">
      <c r="B66" s="1170"/>
      <c r="C66" s="1170"/>
      <c r="D66" s="1170"/>
      <c r="E66" s="1170"/>
      <c r="F66" s="1170"/>
      <c r="G66" s="1170"/>
      <c r="H66" s="1170"/>
      <c r="I66" s="1170"/>
      <c r="J66" s="1170"/>
      <c r="K66" s="1170"/>
      <c r="L66" s="1170"/>
      <c r="M66" s="1170"/>
      <c r="N66" s="1170"/>
      <c r="O66" s="1170"/>
      <c r="P66" s="1170"/>
      <c r="Q66" s="1170"/>
      <c r="R66" s="1170"/>
    </row>
    <row r="67" spans="2:18" ht="15.75" customHeight="1">
      <c r="B67" s="1170"/>
      <c r="C67" s="1170"/>
      <c r="D67" s="1170"/>
      <c r="E67" s="1170"/>
      <c r="F67" s="1170"/>
      <c r="G67" s="1170"/>
      <c r="H67" s="1170"/>
      <c r="I67" s="1170"/>
      <c r="J67" s="1170"/>
      <c r="K67" s="1170"/>
      <c r="L67" s="1170"/>
      <c r="M67" s="1170"/>
      <c r="N67" s="1170"/>
      <c r="O67" s="1170"/>
      <c r="P67" s="1170"/>
      <c r="Q67" s="1170"/>
      <c r="R67" s="1170"/>
    </row>
    <row r="68" spans="2:18" ht="15.75" customHeight="1">
      <c r="B68" s="1170"/>
      <c r="C68" s="1170"/>
      <c r="D68" s="1250"/>
      <c r="E68" s="1170"/>
      <c r="F68" s="1170"/>
      <c r="G68" s="1170"/>
      <c r="H68" s="1170"/>
      <c r="I68" s="1170"/>
      <c r="J68" s="1170"/>
      <c r="K68" s="1170"/>
      <c r="L68" s="1170"/>
      <c r="M68" s="1170"/>
      <c r="N68" s="1170"/>
      <c r="O68" s="1170"/>
      <c r="P68" s="1170"/>
      <c r="Q68" s="1170"/>
      <c r="R68" s="1170"/>
    </row>
    <row r="70" spans="2:18" ht="15.75" customHeight="1">
      <c r="D70" s="1119"/>
    </row>
  </sheetData>
  <dataConsolidate/>
  <phoneticPr fontId="0" type="noConversion"/>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0" tint="-0.14999847407452621"/>
  </sheetPr>
  <dimension ref="A1:R153"/>
  <sheetViews>
    <sheetView zoomScale="90" zoomScaleNormal="90" workbookViewId="0"/>
  </sheetViews>
  <sheetFormatPr baseColWidth="10" defaultColWidth="9" defaultRowHeight="15" customHeight="1"/>
  <cols>
    <col min="1" max="1" width="3.7109375" style="1117" customWidth="1"/>
    <col min="2" max="2" width="9" style="1117"/>
    <col min="3" max="3" width="28" style="1117" customWidth="1"/>
    <col min="4" max="4" width="10.28515625" style="1117" customWidth="1"/>
    <col min="5" max="5" width="9" style="1117" customWidth="1"/>
    <col min="6" max="6" width="9" style="1117"/>
    <col min="7" max="7" width="8.42578125" style="1117" customWidth="1"/>
    <col min="8" max="8" width="18.7109375" style="1117" customWidth="1"/>
    <col min="9" max="9" width="14" style="1117" customWidth="1"/>
    <col min="10" max="10" width="15.140625" style="1117" customWidth="1"/>
    <col min="11" max="11" width="9" style="1117"/>
    <col min="12" max="12" width="17" style="1117" bestFit="1" customWidth="1"/>
    <col min="13" max="13" width="18.140625" style="1117" customWidth="1"/>
    <col min="14" max="14" width="11.28515625" style="1117" customWidth="1"/>
    <col min="15" max="15" width="8.5703125" style="1117" customWidth="1"/>
    <col min="16" max="16" width="18.42578125" style="1117" customWidth="1"/>
    <col min="17" max="17" width="14.28515625" style="1117" customWidth="1"/>
    <col min="18" max="18" width="3.28515625" style="1117" customWidth="1"/>
    <col min="19" max="16384" width="9" style="1117"/>
  </cols>
  <sheetData>
    <row r="1" spans="1:18" ht="17.25" customHeight="1">
      <c r="A1" s="1154"/>
    </row>
    <row r="5" spans="1:18" ht="21.75" customHeight="1">
      <c r="B5" s="1250" t="s">
        <v>1332</v>
      </c>
      <c r="C5" s="1119"/>
      <c r="D5" s="1119"/>
      <c r="E5" s="1119"/>
      <c r="F5" s="1119"/>
      <c r="G5" s="1119"/>
      <c r="H5" s="1119"/>
      <c r="I5" s="1119"/>
      <c r="J5" s="1119"/>
      <c r="K5" s="1119"/>
      <c r="L5" s="1119"/>
      <c r="M5" s="1119"/>
      <c r="N5" s="1119"/>
      <c r="O5" s="1119"/>
      <c r="P5" s="1119"/>
      <c r="Q5" s="1119"/>
    </row>
    <row r="6" spans="1:18" ht="15" customHeight="1">
      <c r="B6" s="813" t="s">
        <v>1293</v>
      </c>
      <c r="C6" s="6"/>
      <c r="D6" s="6"/>
      <c r="E6" s="6"/>
      <c r="F6" s="6"/>
      <c r="G6" s="6"/>
      <c r="H6" s="6"/>
      <c r="I6" s="6"/>
      <c r="J6" s="6"/>
      <c r="K6" s="6"/>
      <c r="L6" s="6"/>
      <c r="M6" s="6"/>
      <c r="N6" s="6"/>
      <c r="O6" s="76"/>
      <c r="P6" s="6"/>
      <c r="Q6" s="1202"/>
    </row>
    <row r="7" spans="1:18" ht="15" customHeight="1">
      <c r="B7" s="740"/>
      <c r="C7" s="2388" t="s">
        <v>430</v>
      </c>
      <c r="D7" s="2388"/>
      <c r="E7" s="751"/>
      <c r="F7" s="751"/>
      <c r="G7" s="751"/>
      <c r="H7" s="751"/>
      <c r="I7" s="1"/>
      <c r="J7" s="751"/>
      <c r="K7" s="751"/>
      <c r="L7" s="751"/>
      <c r="M7" s="766" t="s">
        <v>471</v>
      </c>
      <c r="N7" s="766" t="s">
        <v>426</v>
      </c>
      <c r="O7" s="767" t="s">
        <v>50</v>
      </c>
      <c r="P7" s="768" t="s">
        <v>463</v>
      </c>
      <c r="Q7" s="1202"/>
    </row>
    <row r="8" spans="1:18" ht="15" customHeight="1">
      <c r="B8" s="740"/>
      <c r="C8" s="2387" t="s">
        <v>1397</v>
      </c>
      <c r="D8" s="2386"/>
      <c r="E8" s="750" t="s">
        <v>1330</v>
      </c>
      <c r="F8" s="750"/>
      <c r="G8" s="751"/>
      <c r="H8" s="718" t="s">
        <v>1333</v>
      </c>
      <c r="I8" s="751"/>
      <c r="J8" s="13"/>
      <c r="K8" s="2385" t="str">
        <f>C8&amp;E8</f>
        <v>DE0001135465 corp</v>
      </c>
      <c r="L8" s="2386"/>
      <c r="M8" s="753" t="e">
        <f ca="1">_xll.BDP($K8,M$7)</f>
        <v>#NAME?</v>
      </c>
      <c r="N8" s="772" t="e">
        <f ca="1">_xll.BDP($K8,N$7)</f>
        <v>#NAME?</v>
      </c>
      <c r="O8" s="772" t="e">
        <f ca="1">_xll.BDP($K8,O$7)</f>
        <v>#NAME?</v>
      </c>
      <c r="P8" s="753" t="e">
        <f ca="1">_xll.BDP($K8,P$7)</f>
        <v>#NAME?</v>
      </c>
      <c r="Q8" s="1399"/>
    </row>
    <row r="9" spans="1:18" ht="15" customHeight="1">
      <c r="B9" s="441"/>
      <c r="C9" s="2387" t="s">
        <v>1397</v>
      </c>
      <c r="D9" s="2386"/>
      <c r="E9" s="752" t="s">
        <v>428</v>
      </c>
      <c r="F9" s="1"/>
      <c r="G9" s="751"/>
      <c r="H9" s="718" t="s">
        <v>1334</v>
      </c>
      <c r="I9" s="751"/>
      <c r="J9" s="13"/>
      <c r="K9" s="2385" t="str">
        <f>C9&amp;" "&amp;E9</f>
        <v>DE0001135465 corp</v>
      </c>
      <c r="L9" s="2386"/>
      <c r="M9" s="753" t="e">
        <f ca="1">_xll.BDP($K9,M$7)</f>
        <v>#NAME?</v>
      </c>
      <c r="N9" s="772" t="e">
        <f ca="1">_xll.BDP($K9,N$7)</f>
        <v>#NAME?</v>
      </c>
      <c r="O9" s="772" t="e">
        <f ca="1">_xll.BDP($K9,O$7)</f>
        <v>#NAME?</v>
      </c>
      <c r="P9" s="753" t="e">
        <f ca="1">_xll.BDP($K9,P$7)</f>
        <v>#NAME?</v>
      </c>
      <c r="Q9" s="1399"/>
      <c r="R9" s="1119"/>
    </row>
    <row r="10" spans="1:18" ht="15" customHeight="1">
      <c r="B10" s="444" t="s">
        <v>575</v>
      </c>
      <c r="C10" s="2387" t="s">
        <v>1469</v>
      </c>
      <c r="D10" s="2386"/>
      <c r="E10" s="758" t="s">
        <v>431</v>
      </c>
      <c r="F10" s="1302" t="s">
        <v>537</v>
      </c>
      <c r="G10" s="751"/>
      <c r="H10" s="718" t="s">
        <v>1329</v>
      </c>
      <c r="I10" s="751"/>
      <c r="J10" s="13"/>
      <c r="K10" s="2385" t="str">
        <f>C10&amp;E10&amp;F10&amp;" corp"</f>
        <v>VOD 4.375 2043@CBBT corp</v>
      </c>
      <c r="L10" s="2386"/>
      <c r="M10" s="753" t="e">
        <f ca="1">_xll.BDP($K10,M$7)</f>
        <v>#NAME?</v>
      </c>
      <c r="N10" s="772" t="e">
        <f ca="1">_xll.BDP($K10,N$7)</f>
        <v>#NAME?</v>
      </c>
      <c r="O10" s="772" t="e">
        <f ca="1">_xll.BDP($K10,O$7)</f>
        <v>#NAME?</v>
      </c>
      <c r="P10" s="753" t="e">
        <f ca="1">_xll.BDP($K10,P$7)</f>
        <v>#NAME?</v>
      </c>
      <c r="Q10" s="1399"/>
      <c r="R10" s="1119"/>
    </row>
    <row r="11" spans="1:18" ht="15" customHeight="1">
      <c r="B11" s="444"/>
      <c r="C11" s="2387" t="s">
        <v>1469</v>
      </c>
      <c r="D11" s="2386"/>
      <c r="E11" s="751"/>
      <c r="F11" s="579"/>
      <c r="G11" s="751"/>
      <c r="H11" s="718" t="s">
        <v>1328</v>
      </c>
      <c r="I11" s="751"/>
      <c r="J11" s="13"/>
      <c r="K11" s="2385" t="str">
        <f>C11&amp;" corp"</f>
        <v>VOD 4.375 2043 corp</v>
      </c>
      <c r="L11" s="2386"/>
      <c r="M11" s="753" t="e">
        <f ca="1">_xll.BDP($K11,M$7)</f>
        <v>#NAME?</v>
      </c>
      <c r="N11" s="772" t="e">
        <f ca="1">_xll.BDP($K11,N$7)</f>
        <v>#NAME?</v>
      </c>
      <c r="O11" s="772" t="e">
        <f ca="1">_xll.BDP($K11,O$7)</f>
        <v>#NAME?</v>
      </c>
      <c r="P11" s="753" t="e">
        <f ca="1">_xll.BDP($K11,P$7)</f>
        <v>#NAME?</v>
      </c>
      <c r="Q11" s="1399"/>
      <c r="R11" s="1119"/>
    </row>
    <row r="12" spans="1:18" ht="15" customHeight="1">
      <c r="B12" s="444" t="s">
        <v>575</v>
      </c>
      <c r="C12" s="2385" t="s">
        <v>535</v>
      </c>
      <c r="D12" s="2386"/>
      <c r="E12" s="1302" t="s">
        <v>536</v>
      </c>
      <c r="F12" s="750"/>
      <c r="G12" s="751"/>
      <c r="H12" s="718" t="s">
        <v>1467</v>
      </c>
      <c r="I12" s="751"/>
      <c r="J12" s="13"/>
      <c r="K12" s="2385" t="str">
        <f>C12&amp;"@"&amp;E12&amp;" corp"</f>
        <v>DGB 7 24@MSEG corp</v>
      </c>
      <c r="L12" s="2386"/>
      <c r="M12" s="753" t="e">
        <f ca="1">_xll.BDP($K12,M$7)</f>
        <v>#NAME?</v>
      </c>
      <c r="N12" s="772" t="e">
        <f ca="1">_xll.BDP($K12,N$7)</f>
        <v>#NAME?</v>
      </c>
      <c r="O12" s="772" t="e">
        <f ca="1">_xll.BDP($K12,O$7)</f>
        <v>#NAME?</v>
      </c>
      <c r="P12" s="753" t="e">
        <f ca="1">_xll.BDP($K12,P$7)</f>
        <v>#NAME?</v>
      </c>
      <c r="Q12" s="1399"/>
      <c r="R12" s="1119"/>
    </row>
    <row r="13" spans="1:18" ht="15" customHeight="1">
      <c r="B13" s="444" t="s">
        <v>576</v>
      </c>
      <c r="C13" s="2387" t="s">
        <v>1470</v>
      </c>
      <c r="D13" s="2386"/>
      <c r="E13" s="1316" t="s">
        <v>537</v>
      </c>
      <c r="F13" s="750"/>
      <c r="G13" s="751"/>
      <c r="H13" s="718" t="s">
        <v>1367</v>
      </c>
      <c r="I13" s="751"/>
      <c r="J13" s="750"/>
      <c r="K13" s="2385" t="str">
        <f>C13&amp;" "&amp;E13&amp;" curncy"</f>
        <v>EUSA7 CBBT curncy</v>
      </c>
      <c r="L13" s="2386"/>
      <c r="M13" s="753" t="e">
        <f ca="1">_xll.BDP($K13,M$7)</f>
        <v>#NAME?</v>
      </c>
      <c r="N13" s="772" t="e">
        <f ca="1">_xll.BDP($K13,N$7)</f>
        <v>#NAME?</v>
      </c>
      <c r="O13" s="772" t="e">
        <f ca="1">_xll.BDP($K13,O$7)</f>
        <v>#NAME?</v>
      </c>
      <c r="P13" s="753" t="e">
        <f ca="1">_xll.BDP($K13,P$7)</f>
        <v>#NAME?</v>
      </c>
      <c r="Q13" s="1399"/>
      <c r="R13" s="1119"/>
    </row>
    <row r="14" spans="1:18" ht="15" customHeight="1">
      <c r="B14" s="444"/>
      <c r="C14" s="754"/>
      <c r="D14" s="752"/>
      <c r="E14" s="752"/>
      <c r="F14" s="754"/>
      <c r="G14" s="751"/>
      <c r="H14" s="718"/>
      <c r="I14" s="751"/>
      <c r="J14" s="750"/>
      <c r="K14" s="754"/>
      <c r="L14" s="752"/>
      <c r="M14" s="404"/>
      <c r="N14" s="404"/>
      <c r="O14" s="404"/>
      <c r="P14" s="753"/>
      <c r="Q14" s="1399"/>
      <c r="R14" s="1119"/>
    </row>
    <row r="15" spans="1:18" ht="15" customHeight="1">
      <c r="B15" s="740" t="s">
        <v>1331</v>
      </c>
      <c r="C15" s="71"/>
      <c r="D15" s="1150"/>
      <c r="E15" s="71"/>
      <c r="F15" s="1"/>
      <c r="G15" s="751"/>
      <c r="H15" s="318"/>
      <c r="I15" s="751"/>
      <c r="J15" s="751"/>
      <c r="K15" s="751"/>
      <c r="L15" s="1"/>
      <c r="M15" s="751"/>
      <c r="N15" s="751"/>
      <c r="O15" s="751"/>
      <c r="P15" s="751"/>
      <c r="Q15" s="1399"/>
      <c r="R15" s="1119"/>
    </row>
    <row r="16" spans="1:18" ht="15" customHeight="1">
      <c r="B16" s="11" t="s">
        <v>251</v>
      </c>
      <c r="C16" s="278"/>
      <c r="D16" s="1148"/>
      <c r="E16" s="278"/>
      <c r="F16" s="279"/>
      <c r="G16" s="9"/>
      <c r="H16" s="9"/>
      <c r="I16" s="9"/>
      <c r="J16" s="9"/>
      <c r="K16" s="9"/>
      <c r="L16" s="279"/>
      <c r="M16" s="9"/>
      <c r="N16" s="9"/>
      <c r="O16" s="9"/>
      <c r="P16" s="9"/>
      <c r="Q16" s="1399"/>
      <c r="R16" s="1119"/>
    </row>
    <row r="17" spans="2:18" ht="15" customHeight="1">
      <c r="B17" s="1119"/>
      <c r="C17" s="1264"/>
      <c r="D17" s="1212"/>
      <c r="E17" s="1264"/>
      <c r="F17" s="1398"/>
      <c r="G17" s="1119"/>
      <c r="H17" s="1119"/>
      <c r="I17" s="1119"/>
      <c r="J17" s="1119"/>
      <c r="K17" s="1119"/>
      <c r="L17" s="1398"/>
      <c r="M17" s="1119"/>
      <c r="N17" s="1119"/>
      <c r="O17" s="1119"/>
      <c r="P17" s="1119"/>
      <c r="Q17" s="1214"/>
      <c r="R17" s="1119"/>
    </row>
    <row r="18" spans="2:18" ht="21.75" customHeight="1">
      <c r="B18" s="1250" t="s">
        <v>1349</v>
      </c>
      <c r="C18" s="1264"/>
      <c r="D18" s="1212"/>
      <c r="E18" s="1264"/>
      <c r="F18" s="1398"/>
      <c r="G18" s="1119"/>
      <c r="H18" s="1119"/>
      <c r="I18" s="1119"/>
      <c r="J18" s="1119"/>
      <c r="K18" s="1119"/>
      <c r="L18" s="1398"/>
      <c r="M18" s="1119"/>
      <c r="N18" s="1119"/>
      <c r="O18" s="1119"/>
      <c r="P18" s="1119"/>
      <c r="R18" s="1119"/>
    </row>
    <row r="19" spans="2:18" ht="15" customHeight="1">
      <c r="B19" s="280"/>
      <c r="C19" s="761"/>
      <c r="D19" s="762" t="s">
        <v>426</v>
      </c>
      <c r="E19" s="763" t="s">
        <v>970</v>
      </c>
      <c r="F19" s="764" t="s">
        <v>890</v>
      </c>
      <c r="G19" s="764"/>
      <c r="H19" s="764"/>
      <c r="I19" s="764"/>
      <c r="J19" s="6"/>
      <c r="K19" s="6"/>
      <c r="L19" s="281"/>
      <c r="M19" s="6"/>
      <c r="N19" s="6"/>
      <c r="O19" s="6"/>
      <c r="P19" s="805"/>
      <c r="R19" s="1119"/>
    </row>
    <row r="20" spans="2:18" ht="15" customHeight="1">
      <c r="B20" s="282"/>
      <c r="C20" s="1316" t="s">
        <v>771</v>
      </c>
      <c r="D20" s="93" t="e">
        <f ca="1">_xll.BDP($C20,D$19)</f>
        <v>#NAME?</v>
      </c>
      <c r="E20" s="765" t="e">
        <f ca="1">_xll.BDP($C20,E$19)</f>
        <v>#NAME?</v>
      </c>
      <c r="F20" s="765" t="e">
        <f ca="1">_xll.BDP($C20,F$19)</f>
        <v>#NAME?</v>
      </c>
      <c r="G20" s="751"/>
      <c r="H20" s="751"/>
      <c r="I20" s="431" t="s">
        <v>180</v>
      </c>
      <c r="J20" s="751"/>
      <c r="K20" s="742"/>
      <c r="L20" s="750"/>
      <c r="M20" s="691"/>
      <c r="N20" s="751"/>
      <c r="O20" s="330"/>
      <c r="P20" s="330"/>
      <c r="Q20" s="1400"/>
      <c r="R20" s="1119"/>
    </row>
    <row r="21" spans="2:18" ht="15" customHeight="1">
      <c r="B21" s="282"/>
      <c r="C21" s="1316" t="s">
        <v>1310</v>
      </c>
      <c r="D21" s="93" t="e">
        <f ca="1">_xll.BDP($C21,D$19)</f>
        <v>#NAME?</v>
      </c>
      <c r="E21" s="765" t="e">
        <f ca="1">_xll.BDP($C21,E$19)</f>
        <v>#NAME?</v>
      </c>
      <c r="F21" s="765" t="e">
        <f ca="1">_xll.BDP($C21,F$19)</f>
        <v>#NAME?</v>
      </c>
      <c r="G21" s="751"/>
      <c r="H21" s="751"/>
      <c r="I21" s="431" t="s">
        <v>181</v>
      </c>
      <c r="J21" s="751"/>
      <c r="K21" s="750"/>
      <c r="L21" s="750"/>
      <c r="M21" s="750"/>
      <c r="N21" s="750"/>
      <c r="O21" s="13"/>
      <c r="P21" s="751"/>
      <c r="Q21" s="1399"/>
      <c r="R21" s="1119"/>
    </row>
    <row r="22" spans="2:18" ht="15" customHeight="1">
      <c r="B22" s="282"/>
      <c r="C22" s="1316" t="s">
        <v>1311</v>
      </c>
      <c r="D22" s="93" t="e">
        <f ca="1">_xll.BDP($C22,D$19)</f>
        <v>#NAME?</v>
      </c>
      <c r="E22" s="765" t="e">
        <f ca="1">_xll.BDP($C22,E$19)</f>
        <v>#NAME?</v>
      </c>
      <c r="F22" s="765" t="e">
        <f ca="1">_xll.BDP($C22,F$19)</f>
        <v>#NAME?</v>
      </c>
      <c r="G22" s="751"/>
      <c r="H22" s="751"/>
      <c r="I22" s="431" t="s">
        <v>182</v>
      </c>
      <c r="J22" s="751"/>
      <c r="K22" s="750"/>
      <c r="L22" s="750"/>
      <c r="M22" s="750"/>
      <c r="N22" s="751"/>
      <c r="O22" s="751"/>
      <c r="P22" s="751"/>
      <c r="Q22" s="1399"/>
      <c r="R22" s="1119"/>
    </row>
    <row r="23" spans="2:18" ht="15" customHeight="1">
      <c r="B23" s="282"/>
      <c r="C23" s="1316" t="s">
        <v>1312</v>
      </c>
      <c r="D23" s="93" t="e">
        <f ca="1">_xll.BDP($C23,D$19)</f>
        <v>#NAME?</v>
      </c>
      <c r="E23" s="765" t="e">
        <f ca="1">_xll.BDP($C23,E$19)</f>
        <v>#NAME?</v>
      </c>
      <c r="F23" s="765" t="e">
        <f ca="1">_xll.BDP($C23,F$19)</f>
        <v>#NAME?</v>
      </c>
      <c r="G23" s="751"/>
      <c r="H23" s="751"/>
      <c r="I23" s="431" t="s">
        <v>183</v>
      </c>
      <c r="J23" s="751"/>
      <c r="K23" s="751"/>
      <c r="L23" s="2392" t="s">
        <v>1369</v>
      </c>
      <c r="M23" s="2392"/>
      <c r="N23" s="1150" t="s">
        <v>1361</v>
      </c>
      <c r="O23" s="751"/>
      <c r="P23" s="751"/>
      <c r="Q23" s="1399"/>
      <c r="R23" s="1119"/>
    </row>
    <row r="24" spans="2:18" ht="15" customHeight="1">
      <c r="B24" s="282"/>
      <c r="C24" s="742"/>
      <c r="D24" s="93"/>
      <c r="E24" s="765"/>
      <c r="F24" s="765"/>
      <c r="G24" s="388"/>
      <c r="H24" s="388"/>
      <c r="I24" s="388"/>
      <c r="J24" s="388"/>
      <c r="K24" s="388"/>
      <c r="L24" s="2389" t="s">
        <v>1468</v>
      </c>
      <c r="M24" s="2390"/>
      <c r="N24" s="83" t="e">
        <f ca="1">_xll.BDP($L24,N$23)</f>
        <v>#NAME?</v>
      </c>
      <c r="O24" s="751"/>
      <c r="P24" s="751"/>
      <c r="Q24" s="1399"/>
      <c r="R24" s="1119"/>
    </row>
    <row r="25" spans="2:18" ht="15" customHeight="1">
      <c r="B25" s="740"/>
      <c r="C25" s="1401" t="s">
        <v>1352</v>
      </c>
      <c r="D25" s="2394" t="s">
        <v>1350</v>
      </c>
      <c r="E25" s="2394"/>
      <c r="F25" s="751" t="e">
        <f ca="1">_xll.BDP($C$25,$D25)</f>
        <v>#NAME?</v>
      </c>
      <c r="G25" s="388"/>
      <c r="H25" s="388"/>
      <c r="I25" s="388"/>
      <c r="J25" s="388"/>
      <c r="K25" s="388"/>
      <c r="L25" s="771" t="s">
        <v>1396</v>
      </c>
      <c r="M25" s="750"/>
      <c r="N25" s="750"/>
      <c r="O25" s="750"/>
      <c r="P25" s="751"/>
      <c r="Q25" s="1399"/>
      <c r="R25" s="1119"/>
    </row>
    <row r="26" spans="2:18" ht="15" customHeight="1">
      <c r="B26" s="740"/>
      <c r="C26" s="750"/>
      <c r="D26" s="2394" t="s">
        <v>1351</v>
      </c>
      <c r="E26" s="2394"/>
      <c r="F26" s="751" t="e">
        <f ca="1">_xll.BDP($C$25,$D26)</f>
        <v>#NAME?</v>
      </c>
      <c r="G26" s="388"/>
      <c r="H26" s="751" t="s">
        <v>1359</v>
      </c>
      <c r="I26" s="388"/>
      <c r="J26" s="388"/>
      <c r="K26" s="388"/>
      <c r="L26" s="750"/>
      <c r="M26" s="388"/>
      <c r="N26" s="388"/>
      <c r="O26" s="750"/>
      <c r="P26" s="751"/>
      <c r="Q26" s="1399"/>
      <c r="R26" s="1119"/>
    </row>
    <row r="27" spans="2:18" ht="15" customHeight="1">
      <c r="B27" s="285"/>
      <c r="C27" s="750"/>
      <c r="D27" s="2394" t="s">
        <v>1362</v>
      </c>
      <c r="E27" s="2394"/>
      <c r="F27" s="751" t="e">
        <f ca="1">_xll.BDP($C$25,$D27)</f>
        <v>#NAME?</v>
      </c>
      <c r="G27" s="751"/>
      <c r="H27" s="750" t="s">
        <v>1366</v>
      </c>
      <c r="I27" s="2396" t="s">
        <v>1368</v>
      </c>
      <c r="J27" s="2396"/>
      <c r="K27" s="750"/>
      <c r="L27" s="751" t="s">
        <v>1365</v>
      </c>
      <c r="M27" s="2393" t="s">
        <v>1364</v>
      </c>
      <c r="N27" s="2393"/>
      <c r="O27" s="2393"/>
      <c r="P27" s="751"/>
      <c r="Q27" s="1399"/>
      <c r="R27" s="1119"/>
    </row>
    <row r="28" spans="2:18" ht="15" customHeight="1">
      <c r="B28" s="282"/>
      <c r="C28" s="750"/>
      <c r="D28" s="2394" t="s">
        <v>1360</v>
      </c>
      <c r="E28" s="2394"/>
      <c r="F28" s="751" t="e">
        <f ca="1">_xll.BDP($C$25,$D28)</f>
        <v>#NAME?</v>
      </c>
      <c r="G28" s="93"/>
      <c r="H28" s="1316" t="e">
        <f ca="1">F28&amp;" US"&amp;" Equity"</f>
        <v>#NAME?</v>
      </c>
      <c r="I28" s="2395" t="e">
        <f ca="1">_xll.BDP($H$28,"OPTION_TICKER_BY_MONEYNESS")</f>
        <v>#NAME?</v>
      </c>
      <c r="J28" s="2395"/>
      <c r="K28" s="1151" t="s">
        <v>1363</v>
      </c>
      <c r="L28" s="1316" t="s">
        <v>1352</v>
      </c>
      <c r="M28" s="2391" t="e">
        <f ca="1">_xll.BDP($L$28,M27)</f>
        <v>#NAME?</v>
      </c>
      <c r="N28" s="2391"/>
      <c r="O28" s="2391"/>
      <c r="P28" s="751"/>
      <c r="Q28" s="1399"/>
      <c r="R28" s="1119"/>
    </row>
    <row r="29" spans="2:18" ht="15" customHeight="1">
      <c r="B29" s="282"/>
      <c r="C29" s="750"/>
      <c r="D29" s="929"/>
      <c r="E29" s="929"/>
      <c r="F29" s="751"/>
      <c r="G29" s="93"/>
      <c r="H29" s="742"/>
      <c r="I29" s="1" t="s">
        <v>1507</v>
      </c>
      <c r="J29" s="1150"/>
      <c r="K29" s="1150"/>
      <c r="L29" s="742"/>
      <c r="M29" s="752"/>
      <c r="N29" s="752"/>
      <c r="O29" s="752"/>
      <c r="P29" s="751"/>
      <c r="Q29" s="1399"/>
      <c r="R29" s="1119"/>
    </row>
    <row r="30" spans="2:18" ht="15" customHeight="1">
      <c r="B30" s="284"/>
      <c r="C30" s="278"/>
      <c r="D30" s="1148"/>
      <c r="E30" s="278"/>
      <c r="F30" s="279"/>
      <c r="G30" s="279"/>
      <c r="H30" s="279"/>
      <c r="I30" s="9"/>
      <c r="J30" s="279"/>
      <c r="K30" s="279"/>
      <c r="L30" s="279"/>
      <c r="M30" s="9"/>
      <c r="N30" s="9"/>
      <c r="O30" s="9"/>
      <c r="P30" s="9"/>
      <c r="Q30" s="1399"/>
      <c r="R30" s="1119"/>
    </row>
    <row r="31" spans="2:18" ht="15" customHeight="1">
      <c r="B31" s="1269"/>
      <c r="C31" s="1269"/>
      <c r="D31" s="1269"/>
      <c r="E31" s="1269"/>
      <c r="F31" s="1269"/>
    </row>
    <row r="32" spans="2:18" ht="21">
      <c r="B32" s="1583" t="s">
        <v>1498</v>
      </c>
      <c r="C32" s="1204"/>
      <c r="D32" s="1204"/>
      <c r="E32" s="1204"/>
      <c r="F32" s="1204"/>
      <c r="G32" s="1204"/>
      <c r="H32" s="1204"/>
      <c r="I32" s="1204"/>
      <c r="J32" s="1204"/>
      <c r="K32" s="1204"/>
      <c r="L32" s="1204"/>
      <c r="M32" s="1204"/>
      <c r="N32" s="1204"/>
      <c r="O32" s="1204"/>
      <c r="P32" s="1204"/>
      <c r="Q32" s="1119"/>
    </row>
    <row r="33" spans="2:18" ht="15" customHeight="1">
      <c r="B33" s="740"/>
      <c r="C33" s="751"/>
      <c r="D33" s="751"/>
      <c r="E33" s="751"/>
      <c r="F33" s="751"/>
      <c r="G33" s="751"/>
      <c r="H33" s="751"/>
      <c r="I33" s="751"/>
      <c r="J33" s="751"/>
      <c r="K33" s="751"/>
      <c r="L33" s="751"/>
      <c r="M33" s="751"/>
      <c r="N33" s="751"/>
      <c r="O33" s="751"/>
      <c r="P33" s="751"/>
      <c r="Q33" s="1202"/>
    </row>
    <row r="34" spans="2:18" ht="15" customHeight="1">
      <c r="B34" s="740"/>
      <c r="C34" s="1150" t="s">
        <v>429</v>
      </c>
      <c r="D34" s="751"/>
      <c r="E34" s="751" t="s">
        <v>1497</v>
      </c>
      <c r="F34" s="751"/>
      <c r="G34" s="751"/>
      <c r="H34" s="751"/>
      <c r="I34" s="1"/>
      <c r="J34" s="751"/>
      <c r="K34" s="751"/>
      <c r="L34" s="751"/>
      <c r="M34" s="751"/>
      <c r="N34" s="751"/>
      <c r="O34" s="751"/>
      <c r="P34" s="751"/>
      <c r="Q34" s="1202"/>
    </row>
    <row r="35" spans="2:18" ht="15" customHeight="1">
      <c r="B35" s="740"/>
      <c r="C35" s="295">
        <v>42608</v>
      </c>
      <c r="D35" s="751"/>
      <c r="E35" s="330" t="str">
        <f>TEXT(C35,"YYYYMMDD")</f>
        <v>20160826</v>
      </c>
      <c r="F35" s="751"/>
      <c r="G35" s="1" t="s">
        <v>1358</v>
      </c>
      <c r="H35" s="751"/>
      <c r="I35" s="750"/>
      <c r="J35" s="750"/>
      <c r="K35" s="751"/>
      <c r="L35" s="751"/>
      <c r="M35" s="751" t="s">
        <v>53</v>
      </c>
      <c r="N35" s="751" t="s">
        <v>2009</v>
      </c>
      <c r="O35" s="751"/>
      <c r="P35" s="751"/>
      <c r="Q35" s="1202"/>
    </row>
    <row r="36" spans="2:18" ht="15" customHeight="1">
      <c r="B36" s="740"/>
      <c r="C36" s="296">
        <v>42242</v>
      </c>
      <c r="D36" s="751"/>
      <c r="E36" s="330" t="str">
        <f>TEXT(C36,"YYYYMMDD")</f>
        <v>20150826</v>
      </c>
      <c r="F36" s="751"/>
      <c r="G36" s="1" t="s">
        <v>1508</v>
      </c>
      <c r="H36" s="751"/>
      <c r="I36" s="750"/>
      <c r="J36" s="750"/>
      <c r="K36" s="751"/>
      <c r="L36" s="2121" t="s">
        <v>2010</v>
      </c>
      <c r="M36" s="2122" t="e">
        <f ca="1">_xll.BDP(L36,M35)</f>
        <v>#NAME?</v>
      </c>
      <c r="N36" s="2123" t="e">
        <f ca="1">DATEVALUE(M36)</f>
        <v>#NAME?</v>
      </c>
      <c r="O36" s="751"/>
      <c r="P36" s="751"/>
      <c r="Q36" s="1202"/>
    </row>
    <row r="37" spans="2:18" ht="15" customHeight="1">
      <c r="B37" s="740"/>
      <c r="C37" s="751"/>
      <c r="D37" s="751"/>
      <c r="E37" s="751"/>
      <c r="F37" s="751"/>
      <c r="G37" s="751"/>
      <c r="H37" s="751"/>
      <c r="I37" s="751"/>
      <c r="J37" s="751"/>
      <c r="K37" s="751"/>
      <c r="L37" s="751"/>
      <c r="M37" s="751"/>
      <c r="N37" s="1995" t="s">
        <v>2011</v>
      </c>
      <c r="O37" s="751"/>
      <c r="P37" s="751"/>
      <c r="Q37" s="1202"/>
    </row>
    <row r="38" spans="2:18" ht="15" customHeight="1">
      <c r="B38" s="15"/>
      <c r="C38" s="13"/>
      <c r="D38" s="13"/>
      <c r="E38" s="13"/>
      <c r="F38" s="13"/>
      <c r="G38" s="751"/>
      <c r="H38" s="751"/>
      <c r="I38" s="751"/>
      <c r="J38" s="751"/>
      <c r="K38" s="751"/>
      <c r="L38" s="750"/>
      <c r="M38" s="750"/>
      <c r="N38" s="750"/>
      <c r="O38" s="750"/>
      <c r="P38" s="750"/>
      <c r="Q38" s="1202"/>
    </row>
    <row r="39" spans="2:18" ht="15" customHeight="1">
      <c r="B39" s="15"/>
      <c r="C39" s="559" t="s">
        <v>1472</v>
      </c>
      <c r="D39" s="13"/>
      <c r="E39" s="13"/>
      <c r="F39" s="354" t="e">
        <f ca="1">_xll.BToday()</f>
        <v>#NAME?</v>
      </c>
      <c r="G39" s="751" t="s">
        <v>493</v>
      </c>
      <c r="H39" s="751"/>
      <c r="I39" s="751"/>
      <c r="J39" s="751"/>
      <c r="K39" s="751"/>
      <c r="L39" s="751"/>
      <c r="M39" s="751"/>
      <c r="N39" s="751"/>
      <c r="O39" s="751"/>
      <c r="P39" s="31"/>
      <c r="Q39" s="1202"/>
    </row>
    <row r="40" spans="2:18" ht="15" customHeight="1">
      <c r="B40" s="15"/>
      <c r="C40" s="559" t="s">
        <v>1919</v>
      </c>
      <c r="D40" s="13"/>
      <c r="E40" s="13"/>
      <c r="F40" s="354" t="e">
        <f ca="1">_xll.BToday()-7</f>
        <v>#NAME?</v>
      </c>
      <c r="G40" s="751" t="s">
        <v>365</v>
      </c>
      <c r="H40" s="751"/>
      <c r="I40" s="751"/>
      <c r="J40" s="751"/>
      <c r="K40" s="751"/>
      <c r="L40" s="751"/>
      <c r="M40" s="751"/>
      <c r="N40" s="751"/>
      <c r="O40" s="751"/>
      <c r="P40" s="31"/>
      <c r="Q40" s="1202"/>
    </row>
    <row r="41" spans="2:18" ht="15" customHeight="1">
      <c r="B41" s="15"/>
      <c r="C41" s="559" t="s">
        <v>1471</v>
      </c>
      <c r="D41" s="13"/>
      <c r="E41" s="13"/>
      <c r="F41" s="354" t="e">
        <f ca="1">_xll.BToday()+43</f>
        <v>#NAME?</v>
      </c>
      <c r="G41" s="751" t="s">
        <v>366</v>
      </c>
      <c r="H41" s="751"/>
      <c r="I41" s="751"/>
      <c r="J41" s="751"/>
      <c r="K41" s="751"/>
      <c r="L41" s="751"/>
      <c r="M41" s="751"/>
      <c r="N41" s="751"/>
      <c r="O41" s="751"/>
      <c r="P41" s="31"/>
      <c r="Q41" s="1202"/>
    </row>
    <row r="42" spans="2:18" ht="15" customHeight="1">
      <c r="B42" s="32"/>
      <c r="C42" s="33"/>
      <c r="D42" s="33"/>
      <c r="E42" s="33"/>
      <c r="F42" s="33"/>
      <c r="G42" s="9"/>
      <c r="H42" s="9"/>
      <c r="I42" s="9"/>
      <c r="J42" s="9"/>
      <c r="K42" s="9"/>
      <c r="L42" s="9"/>
      <c r="M42" s="9"/>
      <c r="N42" s="9"/>
      <c r="O42" s="9"/>
      <c r="P42" s="9"/>
      <c r="Q42" s="1202"/>
    </row>
    <row r="43" spans="2:18" ht="15" customHeight="1">
      <c r="B43" s="1269"/>
      <c r="C43" s="1269"/>
      <c r="D43" s="1269"/>
      <c r="E43" s="1269"/>
      <c r="F43" s="1269"/>
    </row>
    <row r="44" spans="2:18" ht="21">
      <c r="B44" s="1250" t="s">
        <v>432</v>
      </c>
      <c r="C44" s="1142"/>
      <c r="D44" s="1142"/>
      <c r="E44" s="1142"/>
      <c r="F44" s="1142"/>
      <c r="G44" s="1119"/>
      <c r="H44" s="1119"/>
      <c r="I44" s="1119"/>
      <c r="J44" s="1119"/>
      <c r="K44" s="1119"/>
      <c r="L44" s="1119"/>
      <c r="M44" s="1119"/>
      <c r="N44" s="1119"/>
      <c r="O44" s="1119"/>
      <c r="P44" s="1119"/>
      <c r="Q44" s="1119"/>
      <c r="R44" s="1119"/>
    </row>
    <row r="45" spans="2:18" ht="15" customHeight="1">
      <c r="B45" s="20"/>
      <c r="C45" s="12"/>
      <c r="D45" s="12"/>
      <c r="E45" s="12"/>
      <c r="F45" s="12"/>
      <c r="G45" s="6"/>
      <c r="H45" s="6"/>
      <c r="I45" s="6"/>
      <c r="J45" s="6"/>
      <c r="K45" s="6"/>
      <c r="L45" s="6"/>
      <c r="M45" s="6"/>
      <c r="N45" s="6"/>
      <c r="O45" s="6"/>
      <c r="P45" s="6"/>
      <c r="Q45" s="1202"/>
    </row>
    <row r="46" spans="2:18" ht="15" customHeight="1">
      <c r="B46" s="16"/>
      <c r="C46" s="13"/>
      <c r="D46" s="13"/>
      <c r="E46" s="13"/>
      <c r="F46" s="751"/>
      <c r="G46" s="1"/>
      <c r="H46" s="751"/>
      <c r="I46" s="751" t="s">
        <v>1920</v>
      </c>
      <c r="J46" s="749" t="s">
        <v>178</v>
      </c>
      <c r="K46" s="1"/>
      <c r="L46" s="751"/>
      <c r="M46" s="751"/>
      <c r="N46" s="1"/>
      <c r="O46" s="751"/>
      <c r="P46" s="751"/>
      <c r="Q46" s="1202"/>
    </row>
    <row r="47" spans="2:18" ht="15" customHeight="1">
      <c r="B47" s="15"/>
      <c r="C47" s="22">
        <v>100.25</v>
      </c>
      <c r="D47" s="751"/>
      <c r="E47" s="693" t="s">
        <v>1353</v>
      </c>
      <c r="F47" s="751"/>
      <c r="G47" s="751"/>
      <c r="H47" s="751"/>
      <c r="I47" s="751"/>
      <c r="J47" s="750"/>
      <c r="K47" s="751"/>
      <c r="L47" s="751"/>
      <c r="M47" s="751"/>
      <c r="N47" s="751"/>
      <c r="O47" s="751"/>
      <c r="P47" s="751"/>
      <c r="Q47" s="1202"/>
    </row>
    <row r="48" spans="2:18" ht="15" customHeight="1">
      <c r="B48" s="740"/>
      <c r="C48" s="22">
        <v>100.25</v>
      </c>
      <c r="D48" s="748" t="s">
        <v>472</v>
      </c>
      <c r="E48" s="693" t="s">
        <v>1357</v>
      </c>
      <c r="F48" s="751"/>
      <c r="G48" s="751"/>
      <c r="H48" s="35"/>
      <c r="I48" s="2025">
        <v>30</v>
      </c>
      <c r="J48" s="925">
        <v>40</v>
      </c>
      <c r="K48" s="925">
        <v>50</v>
      </c>
      <c r="L48" s="3"/>
      <c r="M48" s="3"/>
      <c r="N48" s="3"/>
      <c r="O48" s="751"/>
      <c r="P48" s="3"/>
      <c r="Q48" s="1202"/>
    </row>
    <row r="49" spans="2:18" ht="15" customHeight="1">
      <c r="B49" s="740"/>
      <c r="C49" s="22">
        <v>100.25</v>
      </c>
      <c r="D49" s="748" t="s">
        <v>473</v>
      </c>
      <c r="E49" s="693" t="s">
        <v>1356</v>
      </c>
      <c r="F49" s="751"/>
      <c r="G49" s="751"/>
      <c r="H49" s="923">
        <v>5</v>
      </c>
      <c r="I49" s="2024">
        <f>$H49+I$48</f>
        <v>35</v>
      </c>
      <c r="J49" s="695"/>
      <c r="K49" s="695"/>
      <c r="L49" s="5"/>
      <c r="M49" s="2"/>
      <c r="N49" s="2"/>
      <c r="O49" s="751"/>
      <c r="P49" s="2"/>
      <c r="Q49" s="1202"/>
    </row>
    <row r="50" spans="2:18" ht="15" customHeight="1">
      <c r="B50" s="740"/>
      <c r="C50" s="22">
        <v>100.25</v>
      </c>
      <c r="D50" s="748" t="s">
        <v>474</v>
      </c>
      <c r="E50" s="693" t="s">
        <v>1355</v>
      </c>
      <c r="F50" s="751"/>
      <c r="G50" s="751"/>
      <c r="H50" s="923">
        <v>120</v>
      </c>
      <c r="I50" s="54"/>
      <c r="J50" s="37"/>
      <c r="K50" s="37"/>
      <c r="L50" s="5"/>
      <c r="M50" s="4"/>
      <c r="N50" s="4"/>
      <c r="O50" s="751"/>
      <c r="P50" s="4"/>
      <c r="Q50" s="1202"/>
    </row>
    <row r="51" spans="2:18" ht="15" customHeight="1">
      <c r="B51" s="740"/>
      <c r="C51" s="22">
        <v>100.25</v>
      </c>
      <c r="D51" s="748" t="s">
        <v>492</v>
      </c>
      <c r="E51" s="693" t="s">
        <v>1354</v>
      </c>
      <c r="F51" s="751"/>
      <c r="G51" s="751"/>
      <c r="H51" s="923">
        <v>250</v>
      </c>
      <c r="I51" s="54"/>
      <c r="J51" s="37"/>
      <c r="K51" s="37"/>
      <c r="L51" s="5"/>
      <c r="M51" s="4"/>
      <c r="N51" s="4"/>
      <c r="O51" s="751"/>
      <c r="P51" s="4"/>
      <c r="Q51" s="1202"/>
    </row>
    <row r="52" spans="2:18" ht="15" customHeight="1">
      <c r="B52" s="740"/>
      <c r="C52" s="751"/>
      <c r="D52" s="751"/>
      <c r="E52" s="751"/>
      <c r="F52" s="751"/>
      <c r="G52" s="751"/>
      <c r="H52" s="751"/>
      <c r="I52" s="755" t="s">
        <v>1509</v>
      </c>
      <c r="J52" s="751"/>
      <c r="K52" s="751"/>
      <c r="L52" s="751"/>
      <c r="M52" s="751"/>
      <c r="N52" s="751"/>
      <c r="O52" s="751"/>
      <c r="P52" s="751"/>
      <c r="Q52" s="1202"/>
    </row>
    <row r="53" spans="2:18" ht="15" customHeight="1">
      <c r="B53" s="740"/>
      <c r="C53" s="751"/>
      <c r="D53" s="751"/>
      <c r="E53" s="751"/>
      <c r="F53" s="751"/>
      <c r="G53" s="751"/>
      <c r="H53" s="751"/>
      <c r="I53" s="751"/>
      <c r="J53" s="13"/>
      <c r="K53" s="751"/>
      <c r="L53" s="751"/>
      <c r="M53" s="751"/>
      <c r="N53" s="751"/>
      <c r="O53" s="751"/>
      <c r="P53" s="751"/>
      <c r="Q53" s="1202"/>
    </row>
    <row r="54" spans="2:18" ht="15" customHeight="1">
      <c r="B54" s="740"/>
      <c r="C54" s="751"/>
      <c r="D54" s="751"/>
      <c r="E54" s="751"/>
      <c r="F54" s="13"/>
      <c r="G54" s="17"/>
      <c r="H54" s="13"/>
      <c r="I54" s="17"/>
      <c r="J54" s="751"/>
      <c r="K54" s="751"/>
      <c r="L54" s="751"/>
      <c r="M54" s="751"/>
      <c r="N54" s="751"/>
      <c r="O54" s="751"/>
      <c r="P54" s="751"/>
      <c r="Q54" s="1202"/>
    </row>
    <row r="55" spans="2:18" ht="15" customHeight="1">
      <c r="B55" s="740"/>
      <c r="C55" s="751" t="s">
        <v>464</v>
      </c>
      <c r="D55" s="751"/>
      <c r="E55" s="751"/>
      <c r="F55" s="13"/>
      <c r="G55" s="13"/>
      <c r="H55" s="13"/>
      <c r="I55" s="18"/>
      <c r="J55" s="751"/>
      <c r="K55" s="18"/>
      <c r="L55" s="18"/>
      <c r="M55" s="750"/>
      <c r="N55" s="751"/>
      <c r="O55" s="751"/>
      <c r="P55" s="751"/>
      <c r="Q55" s="1202"/>
    </row>
    <row r="56" spans="2:18" ht="15" customHeight="1">
      <c r="B56" s="740"/>
      <c r="C56" s="751"/>
      <c r="D56" s="25"/>
      <c r="E56" s="25"/>
      <c r="F56" s="13"/>
      <c r="G56" s="34"/>
      <c r="H56" s="13"/>
      <c r="I56" s="13"/>
      <c r="J56" s="25"/>
      <c r="K56" s="25"/>
      <c r="L56" s="25"/>
      <c r="M56" s="751"/>
      <c r="N56" s="751"/>
      <c r="O56" s="751"/>
      <c r="P56" s="751"/>
      <c r="Q56" s="1202"/>
    </row>
    <row r="57" spans="2:18" ht="15" customHeight="1">
      <c r="B57" s="740"/>
      <c r="C57" s="751"/>
      <c r="D57" s="25"/>
      <c r="E57" s="750"/>
      <c r="F57" s="750"/>
      <c r="G57" s="13"/>
      <c r="H57" s="35"/>
      <c r="I57" s="1978" t="s">
        <v>564</v>
      </c>
      <c r="J57" s="1979" t="s">
        <v>462</v>
      </c>
      <c r="K57" s="1979" t="s">
        <v>461</v>
      </c>
      <c r="L57" s="1979" t="s">
        <v>463</v>
      </c>
      <c r="M57" s="25"/>
      <c r="N57" s="751"/>
      <c r="O57" s="751"/>
      <c r="P57" s="751"/>
      <c r="Q57" s="1202"/>
    </row>
    <row r="58" spans="2:18" ht="15" customHeight="1">
      <c r="B58" s="740"/>
      <c r="C58" s="751"/>
      <c r="D58" s="25"/>
      <c r="E58" s="750"/>
      <c r="F58" s="750"/>
      <c r="G58" s="750"/>
      <c r="H58" s="1149" t="s">
        <v>1398</v>
      </c>
      <c r="I58" s="1402" t="e">
        <f ca="1">_xll.BDP($H58,I$57)</f>
        <v>#NAME?</v>
      </c>
      <c r="J58" s="36" t="e">
        <f ca="1">_xll.BDP($H58,J$57)</f>
        <v>#NAME?</v>
      </c>
      <c r="K58" s="42" t="e">
        <f ca="1">_xll.BDP($H58,K$57)</f>
        <v>#NAME?</v>
      </c>
      <c r="L58" s="37" t="e">
        <f ca="1">_xll.BDP($H58,L$57)</f>
        <v>#NAME?</v>
      </c>
      <c r="M58" s="750" t="s">
        <v>1890</v>
      </c>
      <c r="N58" s="751"/>
      <c r="O58" s="751"/>
      <c r="P58" s="751"/>
      <c r="Q58" s="1202"/>
    </row>
    <row r="59" spans="2:18" ht="15" customHeight="1">
      <c r="B59" s="740"/>
      <c r="C59" s="751"/>
      <c r="D59" s="25"/>
      <c r="E59" s="750"/>
      <c r="F59" s="750"/>
      <c r="G59" s="750"/>
      <c r="H59" s="1149" t="s">
        <v>1502</v>
      </c>
      <c r="I59" s="1403" t="e">
        <f ca="1">_xll.BDP($H59,I$57)</f>
        <v>#NAME?</v>
      </c>
      <c r="J59" s="36" t="e">
        <f ca="1">_xll.BDP($H59,J$57)</f>
        <v>#NAME?</v>
      </c>
      <c r="K59" s="42" t="e">
        <f ca="1">_xll.BDP($H59,K$57)</f>
        <v>#NAME?</v>
      </c>
      <c r="L59" s="37" t="e">
        <f ca="1">_xll.BDP($H59,L$57)</f>
        <v>#NAME?</v>
      </c>
      <c r="M59" s="25"/>
      <c r="N59" s="751"/>
      <c r="O59" s="751"/>
      <c r="P59" s="751"/>
      <c r="Q59" s="1202"/>
    </row>
    <row r="60" spans="2:18" ht="15" customHeight="1">
      <c r="B60" s="740"/>
      <c r="C60" s="751"/>
      <c r="D60" s="25"/>
      <c r="E60" s="750"/>
      <c r="F60" s="750"/>
      <c r="G60" s="750"/>
      <c r="H60" s="1149" t="s">
        <v>459</v>
      </c>
      <c r="I60" s="1403" t="e">
        <f ca="1">_xll.BDP($H60,I$57)</f>
        <v>#NAME?</v>
      </c>
      <c r="J60" s="36" t="e">
        <f ca="1">_xll.BDP($H60,J$57)</f>
        <v>#NAME?</v>
      </c>
      <c r="K60" s="42" t="e">
        <f ca="1">_xll.BDP($H60,K$57)</f>
        <v>#NAME?</v>
      </c>
      <c r="L60" s="37" t="e">
        <f ca="1">_xll.BDP($H60,L$57)</f>
        <v>#NAME?</v>
      </c>
      <c r="M60" s="25"/>
      <c r="N60" s="751"/>
      <c r="O60" s="751"/>
      <c r="P60" s="751"/>
      <c r="Q60" s="1202"/>
    </row>
    <row r="61" spans="2:18" ht="15" customHeight="1">
      <c r="B61" s="740"/>
      <c r="C61" s="751"/>
      <c r="D61" s="25"/>
      <c r="E61" s="750"/>
      <c r="F61" s="750"/>
      <c r="G61" s="25"/>
      <c r="H61" s="25"/>
      <c r="I61" s="1404" t="s">
        <v>1510</v>
      </c>
      <c r="J61" s="25"/>
      <c r="K61" s="25"/>
      <c r="L61" s="25"/>
      <c r="M61" s="25"/>
      <c r="N61" s="751"/>
      <c r="O61" s="751"/>
      <c r="P61" s="751"/>
      <c r="Q61" s="1202"/>
      <c r="R61" s="1119"/>
    </row>
    <row r="62" spans="2:18" ht="15" customHeight="1">
      <c r="B62" s="740"/>
      <c r="C62" s="751"/>
      <c r="D62" s="25"/>
      <c r="E62" s="25"/>
      <c r="F62" s="25"/>
      <c r="G62" s="25"/>
      <c r="H62" s="25"/>
      <c r="I62" s="25"/>
      <c r="J62" s="25"/>
      <c r="K62" s="25"/>
      <c r="L62" s="25"/>
      <c r="M62" s="751"/>
      <c r="N62" s="751"/>
      <c r="O62" s="751"/>
      <c r="P62" s="751"/>
      <c r="Q62" s="1202"/>
      <c r="R62" s="1119"/>
    </row>
    <row r="63" spans="2:18" ht="15" customHeight="1">
      <c r="B63" s="740"/>
      <c r="C63" s="751"/>
      <c r="D63" s="25"/>
      <c r="E63" s="25"/>
      <c r="F63" s="13"/>
      <c r="G63" s="13"/>
      <c r="H63" s="13"/>
      <c r="I63" s="13"/>
      <c r="J63" s="25"/>
      <c r="K63" s="25"/>
      <c r="L63" s="25"/>
      <c r="M63" s="751"/>
      <c r="N63" s="751"/>
      <c r="O63" s="751"/>
      <c r="P63" s="751"/>
      <c r="Q63" s="1202"/>
      <c r="R63" s="1119"/>
    </row>
    <row r="64" spans="2:18" ht="15" customHeight="1">
      <c r="B64" s="740"/>
      <c r="C64" s="751"/>
      <c r="D64" s="751"/>
      <c r="E64" s="751"/>
      <c r="F64" s="13"/>
      <c r="G64" s="17"/>
      <c r="H64" s="13"/>
      <c r="I64" s="17"/>
      <c r="J64" s="751"/>
      <c r="K64" s="751"/>
      <c r="L64" s="751"/>
      <c r="M64" s="751"/>
      <c r="N64" s="751"/>
      <c r="O64" s="751"/>
      <c r="P64" s="751"/>
      <c r="Q64" s="1202"/>
      <c r="R64" s="1119"/>
    </row>
    <row r="65" spans="2:18" ht="15" customHeight="1">
      <c r="B65" s="740"/>
      <c r="C65" s="751" t="s">
        <v>469</v>
      </c>
      <c r="D65" s="751"/>
      <c r="E65" s="751"/>
      <c r="F65" s="13"/>
      <c r="G65" s="13"/>
      <c r="H65" s="13"/>
      <c r="I65" s="13"/>
      <c r="J65" s="751"/>
      <c r="K65" s="18"/>
      <c r="L65" s="18"/>
      <c r="M65" s="18"/>
      <c r="N65" s="18"/>
      <c r="O65" s="18"/>
      <c r="P65" s="18"/>
      <c r="Q65" s="1202"/>
      <c r="R65" s="1119"/>
    </row>
    <row r="66" spans="2:18" ht="15" customHeight="1">
      <c r="B66" s="740"/>
      <c r="C66" s="751"/>
      <c r="D66" s="751"/>
      <c r="E66" s="751"/>
      <c r="F66" s="21"/>
      <c r="G66" s="750"/>
      <c r="H66" s="750"/>
      <c r="I66" s="14"/>
      <c r="J66" s="751"/>
      <c r="K66" s="751"/>
      <c r="L66" s="751"/>
      <c r="M66" s="751"/>
      <c r="N66" s="751"/>
      <c r="O66" s="751"/>
      <c r="P66" s="751"/>
      <c r="Q66" s="1202"/>
      <c r="R66" s="1119"/>
    </row>
    <row r="67" spans="2:18" ht="15" customHeight="1">
      <c r="B67" s="740"/>
      <c r="C67" s="751"/>
      <c r="D67" s="751"/>
      <c r="E67" s="750"/>
      <c r="F67" s="750"/>
      <c r="G67" s="13"/>
      <c r="H67" s="35"/>
      <c r="I67" s="797" t="s">
        <v>426</v>
      </c>
      <c r="J67" s="115" t="s">
        <v>470</v>
      </c>
      <c r="K67" s="115"/>
      <c r="L67" s="115" t="s">
        <v>426</v>
      </c>
      <c r="M67" s="115" t="s">
        <v>470</v>
      </c>
      <c r="N67" s="750"/>
      <c r="O67" s="751"/>
      <c r="P67" s="751"/>
      <c r="Q67" s="1202"/>
      <c r="R67" s="1119"/>
    </row>
    <row r="68" spans="2:18" ht="15" customHeight="1">
      <c r="B68" s="740"/>
      <c r="C68" s="751"/>
      <c r="D68" s="751"/>
      <c r="E68" s="750"/>
      <c r="F68" s="750"/>
      <c r="G68" s="750"/>
      <c r="H68" s="1980" t="s">
        <v>425</v>
      </c>
      <c r="I68" s="1983" t="e">
        <f ca="1">_xll.BDP($H68,I$67,$L$67:$M$67,$L68:$M68)</f>
        <v>#NAME?</v>
      </c>
      <c r="J68" s="1985" t="e">
        <f ca="1">_xll.BDP($H68,J$67,$L$67:$M$67,$L68:$M68)</f>
        <v>#NAME?</v>
      </c>
      <c r="K68" s="1984"/>
      <c r="L68" s="1986">
        <v>99.125</v>
      </c>
      <c r="M68" s="1986"/>
      <c r="N68" s="751"/>
      <c r="O68" s="1987"/>
      <c r="P68" s="751" t="s">
        <v>1891</v>
      </c>
      <c r="Q68" s="1202"/>
      <c r="R68" s="1987"/>
    </row>
    <row r="69" spans="2:18" ht="15" customHeight="1">
      <c r="B69" s="740"/>
      <c r="C69" s="751"/>
      <c r="D69" s="751"/>
      <c r="E69" s="750"/>
      <c r="F69" s="750"/>
      <c r="G69" s="750"/>
      <c r="H69" s="1981" t="s">
        <v>460</v>
      </c>
      <c r="I69" s="1982" t="e">
        <f ca="1">_xll.BDP($H69,I$67,$L$67:$M$67,$L69:$M69)</f>
        <v>#NAME?</v>
      </c>
      <c r="J69" s="760" t="e">
        <f ca="1">_xll.BDP($H69,J$67,$L$67:$M$67,$L69:$M69)</f>
        <v>#NAME?</v>
      </c>
      <c r="K69" s="714"/>
      <c r="L69" s="1379">
        <v>109.125</v>
      </c>
      <c r="M69" s="1379"/>
      <c r="N69" s="751"/>
      <c r="O69" s="751"/>
      <c r="P69" s="751"/>
      <c r="Q69" s="1202"/>
      <c r="R69" s="1119"/>
    </row>
    <row r="70" spans="2:18" ht="15" customHeight="1">
      <c r="B70" s="740"/>
      <c r="C70" s="751"/>
      <c r="D70" s="751"/>
      <c r="E70" s="750"/>
      <c r="F70" s="750"/>
      <c r="G70" s="750"/>
      <c r="H70" s="1981" t="s">
        <v>459</v>
      </c>
      <c r="I70" s="1982" t="e">
        <f ca="1">_xll.BDP($H70,I$67,$L$67:$M$67,$L70:$M70)</f>
        <v>#NAME?</v>
      </c>
      <c r="J70" s="760" t="e">
        <f ca="1">_xll.BDP($H70,J$67,$L$67:$M$67,$L70:$M70)</f>
        <v>#NAME?</v>
      </c>
      <c r="K70" s="714"/>
      <c r="L70" s="1379"/>
      <c r="M70" s="1379">
        <v>1.645</v>
      </c>
      <c r="N70" s="751"/>
      <c r="O70" s="751"/>
      <c r="P70" s="751"/>
      <c r="Q70" s="1202"/>
      <c r="R70" s="1119"/>
    </row>
    <row r="71" spans="2:18" ht="15" customHeight="1">
      <c r="B71" s="740"/>
      <c r="C71" s="751"/>
      <c r="D71" s="751"/>
      <c r="E71" s="750"/>
      <c r="F71" s="750"/>
      <c r="G71" s="751"/>
      <c r="H71" s="751"/>
      <c r="I71" s="1404" t="s">
        <v>1511</v>
      </c>
      <c r="J71" s="751"/>
      <c r="K71" s="751"/>
      <c r="L71" s="751"/>
      <c r="M71" s="751"/>
      <c r="N71" s="751"/>
      <c r="O71" s="751"/>
      <c r="P71" s="751"/>
      <c r="Q71" s="1202"/>
      <c r="R71" s="1119"/>
    </row>
    <row r="72" spans="2:18" ht="15" customHeight="1">
      <c r="B72" s="11"/>
      <c r="C72" s="9"/>
      <c r="D72" s="9"/>
      <c r="E72" s="9"/>
      <c r="F72" s="9"/>
      <c r="G72" s="9"/>
      <c r="H72" s="9"/>
      <c r="I72" s="9"/>
      <c r="J72" s="9"/>
      <c r="K72" s="9"/>
      <c r="L72" s="9"/>
      <c r="M72" s="9"/>
      <c r="N72" s="9"/>
      <c r="O72" s="9"/>
      <c r="P72" s="9"/>
      <c r="Q72" s="1202"/>
      <c r="R72" s="1119"/>
    </row>
    <row r="74" spans="2:18" ht="21">
      <c r="B74" s="1353"/>
    </row>
    <row r="75" spans="2:18" ht="15" customHeight="1">
      <c r="B75" s="1119"/>
      <c r="C75" s="1119"/>
      <c r="D75" s="1119"/>
      <c r="E75" s="1119"/>
      <c r="F75" s="1119"/>
      <c r="G75" s="1119"/>
      <c r="H75" s="1119"/>
      <c r="I75" s="1119"/>
      <c r="J75" s="1119"/>
      <c r="K75" s="1119"/>
      <c r="L75" s="1119"/>
      <c r="M75" s="1119"/>
      <c r="N75" s="1119"/>
      <c r="O75" s="1119"/>
      <c r="P75" s="1119"/>
      <c r="Q75" s="1119"/>
    </row>
    <row r="76" spans="2:18" ht="15" customHeight="1">
      <c r="B76" s="1119"/>
      <c r="C76" s="1119"/>
      <c r="D76" s="1119"/>
      <c r="E76" s="1119"/>
      <c r="F76" s="1119"/>
      <c r="G76" s="1119"/>
      <c r="H76" s="1119"/>
      <c r="I76" s="1119"/>
      <c r="J76" s="1119"/>
      <c r="K76" s="1119"/>
      <c r="L76" s="1119"/>
      <c r="M76" s="1119"/>
      <c r="N76" s="1119"/>
      <c r="O76" s="1119"/>
      <c r="P76" s="1119"/>
      <c r="Q76" s="1119"/>
    </row>
    <row r="77" spans="2:18" ht="15" customHeight="1">
      <c r="B77" s="1119"/>
      <c r="C77" s="1119"/>
      <c r="D77" s="1119"/>
      <c r="E77" s="1119"/>
      <c r="F77" s="1119"/>
      <c r="G77" s="1119"/>
      <c r="H77" s="1119"/>
      <c r="I77" s="1119"/>
      <c r="J77" s="1119"/>
      <c r="K77" s="1119"/>
      <c r="L77" s="1119"/>
      <c r="M77" s="1119"/>
      <c r="N77" s="1119"/>
      <c r="O77" s="1119"/>
      <c r="P77" s="1119"/>
      <c r="Q77" s="1119"/>
    </row>
    <row r="78" spans="2:18" ht="15" customHeight="1">
      <c r="B78" s="1119"/>
      <c r="C78" s="1119"/>
      <c r="D78" s="1119"/>
      <c r="E78" s="1119"/>
      <c r="F78" s="1119"/>
      <c r="G78" s="1119"/>
      <c r="H78" s="1119"/>
      <c r="I78" s="1119"/>
      <c r="J78" s="1119"/>
      <c r="K78" s="1119"/>
      <c r="L78" s="1119"/>
      <c r="M78" s="1119"/>
      <c r="N78" s="1119"/>
      <c r="O78" s="1119"/>
      <c r="P78" s="1119"/>
      <c r="Q78" s="1119"/>
    </row>
    <row r="79" spans="2:18" ht="15" customHeight="1">
      <c r="B79" s="1119"/>
      <c r="C79" s="1119"/>
      <c r="D79" s="1119"/>
      <c r="E79" s="1119"/>
      <c r="F79" s="1119"/>
      <c r="G79" s="1119"/>
      <c r="H79" s="1119"/>
      <c r="I79" s="1119"/>
      <c r="J79" s="1119"/>
      <c r="K79" s="1119"/>
      <c r="L79" s="1119"/>
      <c r="M79" s="1119"/>
      <c r="N79" s="1119"/>
      <c r="O79" s="1119"/>
      <c r="P79" s="1119"/>
      <c r="Q79" s="1119"/>
    </row>
    <row r="80" spans="2:18" ht="15" customHeight="1">
      <c r="B80" s="1119"/>
      <c r="C80" s="1119"/>
      <c r="D80" s="1119"/>
      <c r="E80" s="1119"/>
      <c r="F80" s="1119"/>
      <c r="G80" s="1119"/>
      <c r="H80" s="1119"/>
      <c r="I80" s="1119"/>
      <c r="J80" s="1119"/>
      <c r="K80" s="1119"/>
      <c r="L80" s="1119"/>
      <c r="M80" s="1119"/>
      <c r="N80" s="1119"/>
      <c r="O80" s="1119"/>
      <c r="P80" s="1119"/>
      <c r="Q80" s="1119"/>
    </row>
    <row r="81" spans="2:17" ht="15" customHeight="1">
      <c r="B81" s="1119"/>
      <c r="C81" s="1119"/>
      <c r="D81" s="1119"/>
      <c r="E81" s="1119"/>
      <c r="F81" s="1119"/>
      <c r="G81" s="1119"/>
      <c r="H81" s="1119"/>
      <c r="I81" s="1119"/>
      <c r="J81" s="1119"/>
      <c r="K81" s="1119"/>
      <c r="L81" s="1119"/>
      <c r="M81" s="1119"/>
      <c r="N81" s="1119"/>
      <c r="O81" s="1119"/>
      <c r="P81" s="1119"/>
      <c r="Q81" s="1119"/>
    </row>
    <row r="82" spans="2:17" ht="15" customHeight="1">
      <c r="B82" s="1119"/>
      <c r="C82" s="1119"/>
      <c r="D82" s="1119"/>
      <c r="E82" s="1119"/>
      <c r="F82" s="1119"/>
      <c r="G82" s="1119"/>
      <c r="H82" s="1119"/>
      <c r="I82" s="1119"/>
      <c r="J82" s="1119"/>
      <c r="K82" s="1119"/>
      <c r="L82" s="1119"/>
      <c r="M82" s="1119"/>
      <c r="N82" s="1119"/>
      <c r="O82" s="1119"/>
      <c r="P82" s="1119"/>
      <c r="Q82" s="1119"/>
    </row>
    <row r="83" spans="2:17" ht="15" customHeight="1">
      <c r="B83" s="1119"/>
      <c r="C83" s="1119"/>
      <c r="D83" s="1119"/>
      <c r="E83" s="1119"/>
      <c r="F83" s="1119"/>
      <c r="G83" s="1119"/>
      <c r="H83" s="1119"/>
      <c r="I83" s="1119"/>
      <c r="J83" s="1119"/>
      <c r="K83" s="1119"/>
      <c r="L83" s="1119"/>
      <c r="M83" s="1119"/>
      <c r="N83" s="1119"/>
      <c r="O83" s="1119"/>
      <c r="P83" s="1119"/>
      <c r="Q83" s="1119"/>
    </row>
    <row r="84" spans="2:17" ht="15" customHeight="1">
      <c r="B84" s="1119"/>
      <c r="C84" s="1119"/>
      <c r="D84" s="1119"/>
      <c r="E84" s="1119"/>
      <c r="F84" s="1119"/>
      <c r="G84" s="1119"/>
      <c r="H84" s="1119"/>
      <c r="I84" s="1119"/>
      <c r="J84" s="1119"/>
      <c r="K84" s="1119"/>
      <c r="L84" s="1119"/>
      <c r="M84" s="1119"/>
      <c r="N84" s="1119"/>
      <c r="O84" s="1119"/>
      <c r="P84" s="1119"/>
      <c r="Q84" s="1119"/>
    </row>
    <row r="85" spans="2:17" ht="15" customHeight="1">
      <c r="B85" s="1119"/>
      <c r="C85" s="1119"/>
      <c r="D85" s="1119"/>
      <c r="E85" s="1119"/>
      <c r="F85" s="1119"/>
      <c r="G85" s="1119"/>
      <c r="H85" s="1119"/>
      <c r="I85" s="1119"/>
      <c r="J85" s="1119"/>
      <c r="K85" s="1119"/>
      <c r="L85" s="1119"/>
      <c r="M85" s="1119"/>
      <c r="N85" s="1119"/>
      <c r="O85" s="1119"/>
      <c r="P85" s="1119"/>
      <c r="Q85" s="1119"/>
    </row>
    <row r="86" spans="2:17" ht="15" customHeight="1">
      <c r="B86" s="1119"/>
      <c r="C86" s="1119"/>
      <c r="D86" s="1119"/>
      <c r="E86" s="1119"/>
      <c r="F86" s="1119"/>
      <c r="G86" s="1119"/>
      <c r="H86" s="1119"/>
      <c r="I86" s="1119"/>
      <c r="J86" s="1119"/>
      <c r="K86" s="1119"/>
      <c r="L86" s="1119"/>
      <c r="M86" s="1119"/>
      <c r="N86" s="1119"/>
      <c r="O86" s="1119"/>
      <c r="P86" s="1119"/>
      <c r="Q86" s="1119"/>
    </row>
    <row r="87" spans="2:17" ht="15" customHeight="1">
      <c r="B87" s="1119"/>
      <c r="C87" s="1119"/>
      <c r="D87" s="1119"/>
      <c r="E87" s="1119"/>
      <c r="F87" s="1119"/>
      <c r="G87" s="1119"/>
      <c r="H87" s="1119"/>
      <c r="I87" s="1119"/>
      <c r="J87" s="1119"/>
      <c r="K87" s="1119"/>
      <c r="L87" s="1119"/>
      <c r="M87" s="1119"/>
      <c r="N87" s="1119"/>
      <c r="O87" s="1119"/>
      <c r="P87" s="1119"/>
      <c r="Q87" s="1119"/>
    </row>
    <row r="88" spans="2:17" ht="15" customHeight="1">
      <c r="B88" s="1119"/>
      <c r="C88" s="1119"/>
      <c r="D88" s="1119"/>
      <c r="E88" s="1119"/>
      <c r="F88" s="1119"/>
      <c r="G88" s="1119"/>
      <c r="H88" s="1119"/>
      <c r="I88" s="1119"/>
      <c r="J88" s="1119"/>
      <c r="K88" s="1119"/>
      <c r="L88" s="1119"/>
      <c r="M88" s="1119"/>
      <c r="N88" s="1119"/>
      <c r="O88" s="1119"/>
      <c r="P88" s="1119"/>
      <c r="Q88" s="1119"/>
    </row>
    <row r="89" spans="2:17" ht="15" customHeight="1">
      <c r="B89" s="1119"/>
      <c r="C89" s="1119"/>
      <c r="D89" s="1119"/>
      <c r="E89" s="1119"/>
      <c r="F89" s="1119"/>
      <c r="G89" s="1119"/>
      <c r="H89" s="1119"/>
      <c r="I89" s="1119"/>
      <c r="J89" s="1119"/>
      <c r="K89" s="1119"/>
      <c r="L89" s="1119"/>
      <c r="M89" s="1119"/>
      <c r="N89" s="1119"/>
      <c r="O89" s="1119"/>
      <c r="P89" s="1119"/>
      <c r="Q89" s="1119"/>
    </row>
    <row r="90" spans="2:17" ht="15" customHeight="1">
      <c r="B90" s="1119"/>
      <c r="C90" s="1119"/>
      <c r="D90" s="1119"/>
      <c r="E90" s="1119"/>
      <c r="F90" s="1119"/>
      <c r="G90" s="1119"/>
      <c r="H90" s="1119"/>
      <c r="I90" s="1119"/>
      <c r="J90" s="1119"/>
      <c r="K90" s="1119"/>
      <c r="L90" s="1119"/>
      <c r="M90" s="1119"/>
      <c r="N90" s="1119"/>
      <c r="O90" s="1119"/>
      <c r="P90" s="1119"/>
      <c r="Q90" s="1119"/>
    </row>
    <row r="91" spans="2:17" ht="15" customHeight="1">
      <c r="B91" s="1119"/>
      <c r="C91" s="1119"/>
      <c r="D91" s="1119"/>
      <c r="E91" s="1119"/>
      <c r="F91" s="1119"/>
      <c r="G91" s="1119"/>
      <c r="H91" s="1119"/>
      <c r="I91" s="1119"/>
      <c r="J91" s="1119"/>
      <c r="K91" s="1119"/>
      <c r="L91" s="1119"/>
      <c r="M91" s="1119"/>
      <c r="N91" s="1119"/>
      <c r="O91" s="1119"/>
      <c r="P91" s="1119"/>
      <c r="Q91" s="1119"/>
    </row>
    <row r="92" spans="2:17" ht="15" customHeight="1">
      <c r="B92" s="1119"/>
      <c r="C92" s="1119"/>
      <c r="D92" s="1119"/>
      <c r="E92" s="1119"/>
      <c r="F92" s="1119"/>
      <c r="G92" s="1119"/>
      <c r="H92" s="1119"/>
      <c r="I92" s="1119"/>
      <c r="J92" s="1119"/>
      <c r="K92" s="1119"/>
      <c r="L92" s="1119"/>
      <c r="M92" s="1119"/>
      <c r="N92" s="1119"/>
      <c r="O92" s="1119"/>
      <c r="P92" s="1119"/>
      <c r="Q92" s="1119"/>
    </row>
    <row r="93" spans="2:17" ht="15" customHeight="1">
      <c r="B93" s="1119"/>
      <c r="C93" s="1119"/>
      <c r="D93" s="1119"/>
      <c r="E93" s="1119"/>
      <c r="F93" s="1119"/>
      <c r="G93" s="1119"/>
      <c r="H93" s="1119"/>
      <c r="I93" s="1119"/>
      <c r="J93" s="1119"/>
      <c r="K93" s="1119"/>
      <c r="L93" s="1119"/>
      <c r="M93" s="1119"/>
      <c r="N93" s="1119"/>
      <c r="O93" s="1119"/>
      <c r="P93" s="1119"/>
      <c r="Q93" s="1119"/>
    </row>
    <row r="94" spans="2:17" ht="15" customHeight="1">
      <c r="B94" s="1119"/>
      <c r="C94" s="1119"/>
      <c r="D94" s="1119"/>
      <c r="E94" s="1119"/>
      <c r="F94" s="1119"/>
      <c r="G94" s="1119"/>
      <c r="H94" s="1119"/>
      <c r="I94" s="1119"/>
      <c r="J94" s="1119"/>
      <c r="K94" s="1119"/>
      <c r="L94" s="1119"/>
      <c r="M94" s="1119"/>
      <c r="N94" s="1119"/>
      <c r="O94" s="1119"/>
      <c r="P94" s="1119"/>
      <c r="Q94" s="1119"/>
    </row>
    <row r="95" spans="2:17" ht="15" customHeight="1">
      <c r="B95" s="1119"/>
      <c r="C95" s="1119"/>
      <c r="D95" s="1119"/>
      <c r="E95" s="1119"/>
      <c r="F95" s="1119"/>
      <c r="G95" s="1119"/>
      <c r="H95" s="1119"/>
      <c r="I95" s="1119"/>
      <c r="J95" s="1119"/>
      <c r="K95" s="1119"/>
      <c r="L95" s="1119"/>
      <c r="M95" s="1119"/>
      <c r="N95" s="1119"/>
      <c r="O95" s="1119"/>
      <c r="P95" s="1119"/>
      <c r="Q95" s="1119"/>
    </row>
    <row r="96" spans="2:17" ht="15" customHeight="1">
      <c r="B96" s="1119"/>
      <c r="C96" s="1119"/>
      <c r="D96" s="1119"/>
      <c r="E96" s="1119"/>
      <c r="F96" s="1119"/>
      <c r="G96" s="1119"/>
      <c r="H96" s="1119"/>
      <c r="I96" s="1119"/>
      <c r="J96" s="1119"/>
      <c r="K96" s="1119"/>
      <c r="L96" s="1119"/>
      <c r="M96" s="1119"/>
      <c r="N96" s="1119"/>
      <c r="O96" s="1119"/>
      <c r="P96" s="1119"/>
      <c r="Q96" s="1119"/>
    </row>
    <row r="97" spans="2:17" ht="15" customHeight="1">
      <c r="B97" s="1119"/>
      <c r="C97" s="1119"/>
      <c r="D97" s="1119"/>
      <c r="E97" s="1119"/>
      <c r="F97" s="1119"/>
      <c r="G97" s="1119"/>
      <c r="H97" s="1119"/>
      <c r="I97" s="1119"/>
      <c r="J97" s="1119"/>
      <c r="K97" s="1119"/>
      <c r="L97" s="1119"/>
      <c r="M97" s="1119"/>
      <c r="N97" s="1119"/>
      <c r="O97" s="1119"/>
      <c r="P97" s="1119"/>
      <c r="Q97" s="1119"/>
    </row>
    <row r="98" spans="2:17" ht="15" customHeight="1">
      <c r="B98" s="1119"/>
      <c r="C98" s="1119"/>
      <c r="D98" s="1119"/>
      <c r="E98" s="1119"/>
      <c r="F98" s="1119"/>
      <c r="G98" s="1119"/>
      <c r="H98" s="1119"/>
      <c r="I98" s="1119"/>
      <c r="J98" s="1119"/>
      <c r="K98" s="1119"/>
      <c r="L98" s="1119"/>
      <c r="M98" s="1119"/>
      <c r="N98" s="1119"/>
      <c r="O98" s="1119"/>
      <c r="P98" s="1119"/>
      <c r="Q98" s="1119"/>
    </row>
    <row r="99" spans="2:17" ht="15" customHeight="1">
      <c r="B99" s="1119"/>
      <c r="C99" s="1119"/>
      <c r="D99" s="1119"/>
      <c r="E99" s="1119"/>
      <c r="F99" s="1119"/>
      <c r="G99" s="1119"/>
      <c r="H99" s="1119"/>
      <c r="I99" s="1119"/>
      <c r="J99" s="1119"/>
      <c r="K99" s="1119"/>
      <c r="L99" s="1119"/>
      <c r="M99" s="1119"/>
      <c r="N99" s="1119"/>
      <c r="O99" s="1119"/>
      <c r="P99" s="1119"/>
      <c r="Q99" s="1119"/>
    </row>
    <row r="100" spans="2:17" ht="15" customHeight="1">
      <c r="B100" s="1119"/>
      <c r="C100" s="1119"/>
      <c r="D100" s="1119"/>
      <c r="E100" s="1119"/>
      <c r="F100" s="1119"/>
      <c r="G100" s="1119"/>
      <c r="H100" s="1119"/>
      <c r="I100" s="1119"/>
      <c r="J100" s="1119"/>
      <c r="K100" s="1119"/>
      <c r="L100" s="1119"/>
      <c r="M100" s="1119"/>
      <c r="N100" s="1119"/>
      <c r="O100" s="1119"/>
      <c r="P100" s="1119"/>
      <c r="Q100" s="1119"/>
    </row>
    <row r="101" spans="2:17" ht="15" customHeight="1">
      <c r="B101" s="1119"/>
      <c r="C101" s="1119"/>
      <c r="D101" s="1119"/>
      <c r="E101" s="1119"/>
      <c r="F101" s="1119"/>
      <c r="G101" s="1119"/>
      <c r="H101" s="1119"/>
      <c r="I101" s="1119"/>
      <c r="J101" s="1119"/>
      <c r="K101" s="1119"/>
      <c r="L101" s="1119"/>
      <c r="M101" s="1119"/>
      <c r="N101" s="1119"/>
      <c r="O101" s="1119"/>
      <c r="P101" s="1119"/>
      <c r="Q101" s="1119"/>
    </row>
    <row r="102" spans="2:17" ht="15" customHeight="1">
      <c r="B102" s="1119"/>
      <c r="C102" s="1119"/>
      <c r="D102" s="1119"/>
      <c r="E102" s="1119"/>
      <c r="F102" s="1119"/>
      <c r="G102" s="1119"/>
      <c r="H102" s="1119"/>
      <c r="I102" s="1119"/>
      <c r="J102" s="1119"/>
      <c r="K102" s="1119"/>
      <c r="L102" s="1119"/>
      <c r="M102" s="1119"/>
      <c r="N102" s="1119"/>
      <c r="O102" s="1119"/>
      <c r="P102" s="1119"/>
      <c r="Q102" s="1119"/>
    </row>
    <row r="103" spans="2:17" ht="15" customHeight="1">
      <c r="B103" s="1119"/>
      <c r="C103" s="1119"/>
      <c r="D103" s="1119"/>
      <c r="E103" s="1119"/>
      <c r="F103" s="1119"/>
      <c r="G103" s="1119"/>
      <c r="H103" s="1119"/>
      <c r="I103" s="1119"/>
      <c r="J103" s="1119"/>
      <c r="K103" s="1119"/>
      <c r="L103" s="1119"/>
      <c r="M103" s="1119"/>
      <c r="N103" s="1119"/>
      <c r="O103" s="1119"/>
      <c r="P103" s="1119"/>
      <c r="Q103" s="1119"/>
    </row>
    <row r="104" spans="2:17" ht="15" customHeight="1">
      <c r="B104" s="1119"/>
      <c r="C104" s="1119"/>
      <c r="D104" s="1119"/>
      <c r="E104" s="1119"/>
      <c r="F104" s="1119"/>
      <c r="G104" s="1119"/>
      <c r="H104" s="1119"/>
      <c r="I104" s="1119"/>
      <c r="J104" s="1119"/>
      <c r="K104" s="1119"/>
      <c r="L104" s="1119"/>
      <c r="M104" s="1119"/>
      <c r="N104" s="1119"/>
      <c r="O104" s="1119"/>
      <c r="P104" s="1119"/>
      <c r="Q104" s="1119"/>
    </row>
    <row r="105" spans="2:17" ht="15" customHeight="1">
      <c r="B105" s="1119"/>
      <c r="C105" s="1119"/>
      <c r="D105" s="1119"/>
      <c r="E105" s="1119"/>
      <c r="F105" s="1119"/>
      <c r="G105" s="1119"/>
      <c r="H105" s="1119"/>
      <c r="I105" s="1119"/>
      <c r="J105" s="1119"/>
      <c r="K105" s="1119"/>
      <c r="L105" s="1119"/>
      <c r="M105" s="1119"/>
      <c r="N105" s="1119"/>
      <c r="O105" s="1119"/>
      <c r="P105" s="1119"/>
      <c r="Q105" s="1119"/>
    </row>
    <row r="106" spans="2:17" ht="15" customHeight="1">
      <c r="B106" s="1119"/>
      <c r="C106" s="1119"/>
      <c r="D106" s="1119"/>
      <c r="E106" s="1119"/>
      <c r="F106" s="1119"/>
      <c r="G106" s="1119"/>
      <c r="H106" s="1119"/>
      <c r="I106" s="1119"/>
      <c r="J106" s="1119"/>
      <c r="K106" s="1119"/>
      <c r="L106" s="1119"/>
      <c r="M106" s="1119"/>
      <c r="N106" s="1119"/>
      <c r="O106" s="1119"/>
      <c r="P106" s="1119"/>
      <c r="Q106" s="1119"/>
    </row>
    <row r="107" spans="2:17" ht="15" customHeight="1">
      <c r="B107" s="1119"/>
      <c r="C107" s="1119"/>
      <c r="D107" s="1119"/>
      <c r="E107" s="1119"/>
      <c r="F107" s="1119"/>
      <c r="G107" s="1119"/>
      <c r="H107" s="1119"/>
      <c r="I107" s="1119"/>
      <c r="J107" s="1119"/>
      <c r="K107" s="1119"/>
      <c r="L107" s="1119"/>
      <c r="M107" s="1119"/>
      <c r="N107" s="1119"/>
      <c r="O107" s="1119"/>
      <c r="P107" s="1119"/>
      <c r="Q107" s="1119"/>
    </row>
    <row r="108" spans="2:17" ht="15" customHeight="1">
      <c r="B108" s="1119"/>
      <c r="C108" s="1119"/>
      <c r="D108" s="1119"/>
      <c r="E108" s="1119"/>
      <c r="F108" s="1119"/>
      <c r="G108" s="1119"/>
      <c r="H108" s="1119"/>
      <c r="I108" s="1119"/>
      <c r="J108" s="1119"/>
      <c r="K108" s="1119"/>
      <c r="L108" s="1119"/>
      <c r="M108" s="1119"/>
      <c r="N108" s="1119"/>
      <c r="O108" s="1119"/>
      <c r="P108" s="1119"/>
      <c r="Q108" s="1119"/>
    </row>
    <row r="109" spans="2:17" ht="15" customHeight="1">
      <c r="B109" s="1119"/>
      <c r="C109" s="1119"/>
      <c r="D109" s="1119"/>
      <c r="E109" s="1119"/>
      <c r="F109" s="1119"/>
      <c r="G109" s="1119"/>
      <c r="H109" s="1119"/>
      <c r="I109" s="1119"/>
      <c r="J109" s="1119"/>
      <c r="K109" s="1119"/>
      <c r="L109" s="1119"/>
      <c r="M109" s="1119"/>
      <c r="N109" s="1119"/>
      <c r="O109" s="1119"/>
      <c r="P109" s="1119"/>
      <c r="Q109" s="1119"/>
    </row>
    <row r="110" spans="2:17" ht="15" customHeight="1">
      <c r="B110" s="1119"/>
      <c r="C110" s="1119"/>
      <c r="D110" s="1119"/>
      <c r="E110" s="1119"/>
      <c r="F110" s="1119"/>
      <c r="G110" s="1119"/>
      <c r="H110" s="1119"/>
      <c r="I110" s="1119"/>
      <c r="J110" s="1119"/>
      <c r="K110" s="1119"/>
      <c r="L110" s="1119"/>
      <c r="M110" s="1119"/>
      <c r="N110" s="1119"/>
      <c r="O110" s="1119"/>
      <c r="P110" s="1119"/>
      <c r="Q110" s="1119"/>
    </row>
    <row r="111" spans="2:17" ht="15" customHeight="1">
      <c r="B111" s="1119"/>
      <c r="C111" s="1119"/>
      <c r="D111" s="1119"/>
      <c r="E111" s="1119"/>
      <c r="F111" s="1119"/>
      <c r="G111" s="1119"/>
      <c r="H111" s="1119"/>
      <c r="I111" s="1119"/>
      <c r="J111" s="1119"/>
      <c r="K111" s="1119"/>
      <c r="L111" s="1119"/>
      <c r="M111" s="1119"/>
      <c r="N111" s="1119"/>
      <c r="O111" s="1119"/>
      <c r="P111" s="1119"/>
      <c r="Q111" s="1119"/>
    </row>
    <row r="112" spans="2:17" ht="15" customHeight="1">
      <c r="B112" s="1119"/>
      <c r="C112" s="1119"/>
      <c r="D112" s="1119"/>
      <c r="E112" s="1119"/>
      <c r="F112" s="1119"/>
      <c r="G112" s="1119"/>
      <c r="H112" s="1119"/>
      <c r="I112" s="1119"/>
      <c r="J112" s="1119"/>
      <c r="K112" s="1119"/>
      <c r="L112" s="1119"/>
      <c r="M112" s="1119"/>
      <c r="N112" s="1119"/>
      <c r="O112" s="1119"/>
      <c r="P112" s="1119"/>
      <c r="Q112" s="1119"/>
    </row>
    <row r="113" spans="2:17" ht="15" customHeight="1">
      <c r="B113" s="1119"/>
      <c r="C113" s="1119"/>
      <c r="D113" s="1119"/>
      <c r="E113" s="1119"/>
      <c r="F113" s="1119"/>
      <c r="G113" s="1119"/>
      <c r="H113" s="1119"/>
      <c r="I113" s="1119"/>
      <c r="J113" s="1119"/>
      <c r="K113" s="1119"/>
      <c r="L113" s="1119"/>
      <c r="M113" s="1119"/>
      <c r="N113" s="1119"/>
      <c r="O113" s="1119"/>
      <c r="P113" s="1119"/>
      <c r="Q113" s="1119"/>
    </row>
    <row r="114" spans="2:17" ht="15" customHeight="1">
      <c r="B114" s="1119"/>
      <c r="C114" s="1119"/>
      <c r="D114" s="1119"/>
      <c r="E114" s="1119"/>
      <c r="F114" s="1119"/>
      <c r="G114" s="1119"/>
      <c r="H114" s="1119"/>
      <c r="I114" s="1119"/>
      <c r="J114" s="1119"/>
      <c r="K114" s="1119"/>
      <c r="L114" s="1119"/>
      <c r="M114" s="1119"/>
      <c r="N114" s="1119"/>
      <c r="O114" s="1119"/>
      <c r="P114" s="1119"/>
      <c r="Q114" s="1119"/>
    </row>
    <row r="115" spans="2:17" ht="15" customHeight="1">
      <c r="B115" s="1119"/>
      <c r="C115" s="1119"/>
      <c r="D115" s="1119"/>
      <c r="E115" s="1119"/>
      <c r="F115" s="1119"/>
      <c r="G115" s="1119"/>
      <c r="H115" s="1119"/>
      <c r="I115" s="1119"/>
      <c r="J115" s="1119"/>
      <c r="K115" s="1119"/>
      <c r="L115" s="1119"/>
      <c r="M115" s="1119"/>
      <c r="N115" s="1119"/>
      <c r="O115" s="1119"/>
      <c r="P115" s="1119"/>
      <c r="Q115" s="1119"/>
    </row>
    <row r="116" spans="2:17" ht="15" customHeight="1">
      <c r="B116" s="1119"/>
      <c r="C116" s="1119"/>
      <c r="D116" s="1119"/>
      <c r="E116" s="1119"/>
      <c r="F116" s="1119"/>
      <c r="G116" s="1119"/>
      <c r="H116" s="1119"/>
      <c r="I116" s="1119"/>
      <c r="J116" s="1119"/>
      <c r="K116" s="1119"/>
      <c r="L116" s="1119"/>
      <c r="M116" s="1119"/>
      <c r="N116" s="1119"/>
      <c r="O116" s="1119"/>
      <c r="P116" s="1119"/>
      <c r="Q116" s="1119"/>
    </row>
    <row r="117" spans="2:17" ht="15" customHeight="1">
      <c r="B117" s="1119"/>
      <c r="C117" s="1119"/>
      <c r="D117" s="1119"/>
      <c r="E117" s="1119"/>
      <c r="F117" s="1119"/>
      <c r="G117" s="1119"/>
      <c r="H117" s="1119"/>
      <c r="I117" s="1119"/>
      <c r="J117" s="1119"/>
      <c r="K117" s="1119"/>
      <c r="L117" s="1119"/>
      <c r="M117" s="1119"/>
      <c r="N117" s="1119"/>
      <c r="O117" s="1119"/>
      <c r="P117" s="1119"/>
      <c r="Q117" s="1119"/>
    </row>
    <row r="118" spans="2:17" ht="15" customHeight="1">
      <c r="B118" s="1119"/>
      <c r="C118" s="1119"/>
      <c r="D118" s="1119"/>
      <c r="E118" s="1119"/>
      <c r="F118" s="1119"/>
      <c r="G118" s="1119"/>
      <c r="H118" s="1119"/>
      <c r="I118" s="1119"/>
      <c r="J118" s="1119"/>
      <c r="K118" s="1119"/>
      <c r="L118" s="1119"/>
      <c r="M118" s="1119"/>
      <c r="N118" s="1119"/>
      <c r="O118" s="1119"/>
      <c r="P118" s="1119"/>
      <c r="Q118" s="1119"/>
    </row>
    <row r="119" spans="2:17" ht="15" customHeight="1">
      <c r="B119" s="1119"/>
      <c r="C119" s="1119"/>
      <c r="D119" s="1119"/>
      <c r="E119" s="1119"/>
      <c r="F119" s="1119"/>
      <c r="G119" s="1119"/>
      <c r="H119" s="1119"/>
      <c r="I119" s="1119"/>
      <c r="J119" s="1119"/>
      <c r="K119" s="1119"/>
      <c r="L119" s="1119"/>
      <c r="M119" s="1119"/>
      <c r="N119" s="1119"/>
      <c r="O119" s="1119"/>
      <c r="P119" s="1119"/>
      <c r="Q119" s="1119"/>
    </row>
    <row r="120" spans="2:17" ht="15" customHeight="1">
      <c r="B120" s="1119"/>
      <c r="C120" s="1119"/>
      <c r="D120" s="1119"/>
      <c r="E120" s="1119"/>
      <c r="F120" s="1119"/>
      <c r="G120" s="1119"/>
      <c r="H120" s="1119"/>
      <c r="I120" s="1119"/>
      <c r="J120" s="1119"/>
      <c r="K120" s="1119"/>
      <c r="L120" s="1119"/>
      <c r="M120" s="1119"/>
      <c r="N120" s="1119"/>
      <c r="O120" s="1119"/>
      <c r="P120" s="1119"/>
      <c r="Q120" s="1119"/>
    </row>
    <row r="121" spans="2:17" ht="15" customHeight="1">
      <c r="B121" s="1119"/>
      <c r="C121" s="1119"/>
      <c r="D121" s="1119"/>
      <c r="E121" s="1119"/>
      <c r="F121" s="1119"/>
      <c r="G121" s="1119"/>
      <c r="H121" s="1119"/>
      <c r="I121" s="1119"/>
      <c r="J121" s="1119"/>
      <c r="K121" s="1119"/>
      <c r="L121" s="1119"/>
      <c r="M121" s="1119"/>
      <c r="N121" s="1119"/>
      <c r="O121" s="1119"/>
      <c r="P121" s="1119"/>
      <c r="Q121" s="1119"/>
    </row>
    <row r="122" spans="2:17" ht="15" customHeight="1">
      <c r="B122" s="1119"/>
      <c r="C122" s="1119"/>
      <c r="D122" s="1119"/>
      <c r="E122" s="1119"/>
      <c r="F122" s="1119"/>
      <c r="G122" s="1119"/>
      <c r="H122" s="1119"/>
      <c r="I122" s="1119"/>
      <c r="J122" s="1119"/>
      <c r="K122" s="1119"/>
      <c r="L122" s="1119"/>
      <c r="M122" s="1119"/>
      <c r="N122" s="1119"/>
      <c r="O122" s="1119"/>
      <c r="P122" s="1119"/>
      <c r="Q122" s="1119"/>
    </row>
    <row r="123" spans="2:17" ht="15" customHeight="1">
      <c r="B123" s="1119"/>
      <c r="C123" s="1119"/>
      <c r="D123" s="1119"/>
      <c r="E123" s="1119"/>
      <c r="F123" s="1119"/>
      <c r="G123" s="1119"/>
      <c r="H123" s="1119"/>
      <c r="I123" s="1119"/>
      <c r="J123" s="1119"/>
      <c r="K123" s="1119"/>
      <c r="L123" s="1119"/>
      <c r="M123" s="1119"/>
      <c r="N123" s="1119"/>
      <c r="O123" s="1119"/>
      <c r="P123" s="1119"/>
      <c r="Q123" s="1119"/>
    </row>
    <row r="124" spans="2:17" ht="15" customHeight="1">
      <c r="B124" s="1119"/>
      <c r="C124" s="1119"/>
      <c r="D124" s="1119"/>
      <c r="E124" s="1119"/>
      <c r="F124" s="1119"/>
      <c r="G124" s="1119"/>
      <c r="H124" s="1119"/>
      <c r="I124" s="1119"/>
      <c r="J124" s="1119"/>
      <c r="K124" s="1119"/>
      <c r="L124" s="1119"/>
      <c r="M124" s="1119"/>
      <c r="N124" s="1119"/>
      <c r="O124" s="1119"/>
      <c r="P124" s="1119"/>
      <c r="Q124" s="1119"/>
    </row>
    <row r="125" spans="2:17" ht="15" customHeight="1">
      <c r="B125" s="1142"/>
      <c r="C125" s="1142"/>
      <c r="D125" s="1142"/>
      <c r="E125" s="1142"/>
      <c r="F125" s="1142"/>
      <c r="G125" s="1142"/>
      <c r="H125" s="1142"/>
      <c r="I125" s="1142"/>
      <c r="J125" s="1142"/>
      <c r="K125" s="1142"/>
      <c r="L125" s="1142"/>
      <c r="M125" s="1142"/>
      <c r="N125" s="1142"/>
      <c r="O125" s="1142"/>
      <c r="P125" s="1142"/>
      <c r="Q125" s="1142"/>
    </row>
    <row r="126" spans="2:17" ht="15" customHeight="1">
      <c r="B126" s="1119"/>
      <c r="C126" s="1119"/>
      <c r="D126" s="1119"/>
      <c r="E126" s="1119"/>
      <c r="F126" s="1119"/>
      <c r="G126" s="1119"/>
      <c r="H126" s="1119"/>
      <c r="I126" s="1119"/>
      <c r="J126" s="1119"/>
      <c r="K126" s="1119"/>
      <c r="L126" s="1119"/>
      <c r="M126" s="1119"/>
      <c r="N126" s="1119"/>
      <c r="O126" s="1119"/>
      <c r="P126" s="1119"/>
    </row>
    <row r="127" spans="2:17" ht="15" customHeight="1">
      <c r="B127" s="1119"/>
      <c r="C127" s="1119"/>
      <c r="D127" s="1119"/>
      <c r="E127" s="1119"/>
      <c r="F127" s="1119"/>
      <c r="G127" s="1119"/>
      <c r="H127" s="1119"/>
      <c r="I127" s="1119"/>
      <c r="J127" s="1119"/>
      <c r="K127" s="1119"/>
      <c r="L127" s="1119"/>
      <c r="M127" s="1119"/>
      <c r="N127" s="1119"/>
      <c r="O127" s="1119"/>
      <c r="P127" s="1119"/>
    </row>
    <row r="128" spans="2:17" ht="15" customHeight="1">
      <c r="B128" s="1119"/>
      <c r="C128" s="1119"/>
      <c r="D128" s="1119"/>
      <c r="E128" s="1119"/>
      <c r="F128" s="1119"/>
      <c r="G128" s="1119"/>
      <c r="H128" s="1119"/>
      <c r="I128" s="1119"/>
      <c r="J128" s="1119"/>
      <c r="K128" s="1119"/>
      <c r="L128" s="1119"/>
      <c r="M128" s="1119"/>
      <c r="N128" s="1119"/>
      <c r="O128" s="1119"/>
      <c r="P128" s="1119"/>
    </row>
    <row r="129" spans="2:16" ht="15" customHeight="1">
      <c r="B129" s="1119"/>
      <c r="C129" s="1119"/>
      <c r="D129" s="1119"/>
      <c r="E129" s="1119"/>
      <c r="F129" s="1119"/>
      <c r="G129" s="1119"/>
      <c r="H129" s="1119"/>
      <c r="I129" s="1119"/>
      <c r="J129" s="1119"/>
      <c r="K129" s="1119"/>
      <c r="L129" s="1119"/>
      <c r="M129" s="1119"/>
      <c r="N129" s="1119"/>
      <c r="O129" s="1119"/>
      <c r="P129" s="1119"/>
    </row>
    <row r="130" spans="2:16" ht="15" customHeight="1">
      <c r="B130" s="1119"/>
      <c r="C130" s="1119"/>
      <c r="D130" s="1119"/>
      <c r="E130" s="1119"/>
      <c r="F130" s="1119"/>
      <c r="G130" s="1119"/>
      <c r="H130" s="1119"/>
      <c r="I130" s="1119"/>
      <c r="J130" s="1119"/>
      <c r="K130" s="1119"/>
      <c r="L130" s="1119"/>
      <c r="M130" s="1119"/>
      <c r="N130" s="1119"/>
      <c r="O130" s="1119"/>
      <c r="P130" s="1119"/>
    </row>
    <row r="131" spans="2:16" ht="15" customHeight="1">
      <c r="B131" s="1119"/>
      <c r="C131" s="1119"/>
      <c r="D131" s="1119"/>
      <c r="E131" s="1119"/>
      <c r="F131" s="1119"/>
      <c r="G131" s="1119"/>
      <c r="H131" s="1119"/>
      <c r="I131" s="1119"/>
      <c r="J131" s="1119"/>
      <c r="K131" s="1119"/>
      <c r="L131" s="1119"/>
      <c r="M131" s="1119"/>
      <c r="N131" s="1119"/>
      <c r="O131" s="1119"/>
      <c r="P131" s="1119"/>
    </row>
    <row r="132" spans="2:16" ht="15" customHeight="1">
      <c r="B132" s="1119"/>
      <c r="C132" s="1119"/>
      <c r="D132" s="1119"/>
      <c r="E132" s="1119"/>
      <c r="F132" s="1119"/>
      <c r="G132" s="1119"/>
      <c r="H132" s="1119"/>
      <c r="I132" s="1119"/>
      <c r="J132" s="1119"/>
      <c r="K132" s="1119"/>
      <c r="L132" s="1119"/>
      <c r="M132" s="1119"/>
      <c r="N132" s="1119"/>
      <c r="O132" s="1119"/>
      <c r="P132" s="1119"/>
    </row>
    <row r="133" spans="2:16" ht="15" customHeight="1">
      <c r="B133" s="1119"/>
      <c r="C133" s="1119"/>
      <c r="D133" s="1119"/>
      <c r="E133" s="1119"/>
      <c r="F133" s="1119"/>
      <c r="G133" s="1119"/>
      <c r="H133" s="1119"/>
      <c r="I133" s="1119"/>
      <c r="J133" s="1119"/>
      <c r="K133" s="1119"/>
      <c r="L133" s="1119"/>
      <c r="M133" s="1119"/>
      <c r="N133" s="1119"/>
      <c r="O133" s="1119"/>
      <c r="P133" s="1119"/>
    </row>
    <row r="134" spans="2:16" ht="15" customHeight="1">
      <c r="B134" s="1119"/>
      <c r="C134" s="1119"/>
      <c r="D134" s="1119"/>
      <c r="E134" s="1119"/>
      <c r="F134" s="1119"/>
      <c r="G134" s="1119"/>
      <c r="H134" s="1119"/>
      <c r="I134" s="1119"/>
      <c r="J134" s="1119"/>
      <c r="K134" s="1119"/>
      <c r="L134" s="1119"/>
      <c r="M134" s="1119"/>
      <c r="N134" s="1119"/>
      <c r="O134" s="1119"/>
      <c r="P134" s="1119"/>
    </row>
    <row r="135" spans="2:16" ht="15" customHeight="1">
      <c r="B135" s="1119"/>
      <c r="C135" s="1119"/>
      <c r="D135" s="1119"/>
      <c r="E135" s="1119"/>
      <c r="F135" s="1119"/>
      <c r="G135" s="1119"/>
      <c r="H135" s="1119"/>
      <c r="I135" s="1119"/>
      <c r="J135" s="1119"/>
      <c r="K135" s="1119"/>
      <c r="L135" s="1119"/>
      <c r="M135" s="1119"/>
      <c r="N135" s="1119"/>
      <c r="O135" s="1119"/>
      <c r="P135" s="1119"/>
    </row>
    <row r="136" spans="2:16" ht="15" customHeight="1">
      <c r="B136" s="1119"/>
      <c r="C136" s="1119"/>
      <c r="D136" s="1119"/>
      <c r="E136" s="1119"/>
      <c r="F136" s="1119"/>
      <c r="G136" s="1119"/>
      <c r="H136" s="1119"/>
      <c r="I136" s="1119"/>
      <c r="J136" s="1119"/>
      <c r="K136" s="1119"/>
      <c r="L136" s="1119"/>
      <c r="M136" s="1119"/>
      <c r="N136" s="1119"/>
      <c r="O136" s="1119"/>
      <c r="P136" s="1119"/>
    </row>
    <row r="137" spans="2:16" ht="15" customHeight="1">
      <c r="B137" s="1119"/>
      <c r="C137" s="1119"/>
      <c r="D137" s="1119"/>
      <c r="E137" s="1119"/>
      <c r="F137" s="1119"/>
      <c r="G137" s="1119"/>
      <c r="H137" s="1119"/>
      <c r="I137" s="1119"/>
      <c r="J137" s="1119"/>
      <c r="K137" s="1119"/>
      <c r="L137" s="1119"/>
      <c r="M137" s="1119"/>
      <c r="N137" s="1119"/>
      <c r="O137" s="1119"/>
      <c r="P137" s="1119"/>
    </row>
    <row r="138" spans="2:16" ht="15" customHeight="1">
      <c r="B138" s="1119"/>
      <c r="C138" s="1119"/>
      <c r="D138" s="1119"/>
      <c r="E138" s="1119"/>
      <c r="F138" s="1119"/>
      <c r="G138" s="1119"/>
      <c r="H138" s="1119"/>
      <c r="I138" s="1119"/>
      <c r="J138" s="1119"/>
      <c r="K138" s="1119"/>
      <c r="L138" s="1119"/>
      <c r="M138" s="1119"/>
      <c r="N138" s="1119"/>
      <c r="O138" s="1119"/>
      <c r="P138" s="1119"/>
    </row>
    <row r="139" spans="2:16" ht="15" customHeight="1">
      <c r="B139" s="1119"/>
      <c r="C139" s="1119"/>
      <c r="D139" s="1119"/>
      <c r="E139" s="1119"/>
      <c r="F139" s="1119"/>
      <c r="G139" s="1119"/>
      <c r="H139" s="1119"/>
      <c r="I139" s="1119"/>
      <c r="J139" s="1119"/>
      <c r="K139" s="1119"/>
      <c r="L139" s="1119"/>
      <c r="M139" s="1119"/>
      <c r="N139" s="1119"/>
      <c r="O139" s="1119"/>
      <c r="P139" s="1119"/>
    </row>
    <row r="140" spans="2:16" ht="15" customHeight="1">
      <c r="B140" s="1119"/>
      <c r="C140" s="1119"/>
      <c r="D140" s="1119"/>
      <c r="E140" s="1119"/>
      <c r="F140" s="1119"/>
      <c r="G140" s="1119"/>
      <c r="H140" s="1119"/>
      <c r="I140" s="1119"/>
      <c r="J140" s="1119"/>
      <c r="K140" s="1119"/>
      <c r="L140" s="1119"/>
      <c r="M140" s="1119"/>
      <c r="N140" s="1119"/>
      <c r="O140" s="1119"/>
      <c r="P140" s="1119"/>
    </row>
    <row r="141" spans="2:16" ht="15" customHeight="1">
      <c r="B141" s="1119"/>
      <c r="C141" s="1119"/>
      <c r="D141" s="1119"/>
      <c r="E141" s="1119"/>
      <c r="F141" s="1119"/>
      <c r="G141" s="1119"/>
      <c r="H141" s="1119"/>
      <c r="I141" s="1119"/>
      <c r="J141" s="1119"/>
      <c r="K141" s="1119"/>
      <c r="L141" s="1119"/>
      <c r="M141" s="1119"/>
      <c r="N141" s="1119"/>
      <c r="O141" s="1119"/>
      <c r="P141" s="1119"/>
    </row>
    <row r="142" spans="2:16" ht="15" customHeight="1">
      <c r="B142" s="1119"/>
      <c r="C142" s="1119"/>
      <c r="D142" s="1119"/>
      <c r="E142" s="1119"/>
      <c r="F142" s="1119"/>
      <c r="G142" s="1119"/>
      <c r="H142" s="1119"/>
      <c r="I142" s="1119"/>
      <c r="J142" s="1119"/>
      <c r="K142" s="1119"/>
      <c r="L142" s="1119"/>
      <c r="M142" s="1119"/>
      <c r="N142" s="1119"/>
      <c r="O142" s="1119"/>
      <c r="P142" s="1119"/>
    </row>
    <row r="143" spans="2:16" ht="15" customHeight="1">
      <c r="B143" s="1119"/>
      <c r="C143" s="1119"/>
      <c r="D143" s="1119"/>
      <c r="E143" s="1119"/>
      <c r="F143" s="1119"/>
      <c r="G143" s="1119"/>
      <c r="H143" s="1119"/>
      <c r="I143" s="1119"/>
      <c r="J143" s="1119"/>
      <c r="K143" s="1119"/>
      <c r="L143" s="1119"/>
      <c r="M143" s="1119"/>
      <c r="N143" s="1119"/>
      <c r="O143" s="1119"/>
      <c r="P143" s="1119"/>
    </row>
    <row r="144" spans="2:16" ht="15" customHeight="1">
      <c r="B144" s="1119"/>
      <c r="C144" s="1119"/>
      <c r="D144" s="1119"/>
      <c r="E144" s="1119"/>
      <c r="F144" s="1119"/>
      <c r="G144" s="1119"/>
      <c r="H144" s="1119"/>
      <c r="I144" s="1119"/>
      <c r="J144" s="1119"/>
      <c r="K144" s="1119"/>
      <c r="L144" s="1119"/>
      <c r="M144" s="1119"/>
      <c r="N144" s="1119"/>
      <c r="O144" s="1119"/>
      <c r="P144" s="1119"/>
    </row>
    <row r="145" spans="2:16" ht="15" customHeight="1">
      <c r="B145" s="1119"/>
      <c r="C145" s="1119"/>
      <c r="D145" s="1119"/>
      <c r="E145" s="1119"/>
      <c r="F145" s="1119"/>
      <c r="G145" s="1119"/>
      <c r="H145" s="1119"/>
      <c r="I145" s="1119"/>
      <c r="J145" s="1119"/>
      <c r="K145" s="1119"/>
      <c r="L145" s="1119"/>
      <c r="M145" s="1119"/>
      <c r="N145" s="1119"/>
      <c r="O145" s="1119"/>
      <c r="P145" s="1119"/>
    </row>
    <row r="146" spans="2:16" ht="15" customHeight="1">
      <c r="B146" s="1119"/>
      <c r="C146" s="1119"/>
      <c r="D146" s="1119"/>
      <c r="E146" s="1119"/>
      <c r="F146" s="1119"/>
      <c r="G146" s="1119"/>
      <c r="H146" s="1119"/>
      <c r="I146" s="1119"/>
      <c r="J146" s="1119"/>
      <c r="K146" s="1119"/>
      <c r="L146" s="1119"/>
      <c r="M146" s="1119"/>
      <c r="N146" s="1119"/>
      <c r="O146" s="1119"/>
      <c r="P146" s="1119"/>
    </row>
    <row r="147" spans="2:16" ht="15" customHeight="1">
      <c r="B147" s="1119"/>
      <c r="C147" s="1119"/>
      <c r="D147" s="1119"/>
      <c r="E147" s="1119"/>
      <c r="F147" s="1119"/>
      <c r="G147" s="1119"/>
      <c r="H147" s="1119"/>
      <c r="I147" s="1119"/>
      <c r="J147" s="1119"/>
      <c r="K147" s="1119"/>
      <c r="L147" s="1119"/>
      <c r="M147" s="1119"/>
      <c r="N147" s="1119"/>
      <c r="O147" s="1119"/>
      <c r="P147" s="1119"/>
    </row>
    <row r="148" spans="2:16" ht="15" customHeight="1">
      <c r="B148" s="1119"/>
      <c r="C148" s="1119"/>
      <c r="D148" s="1119"/>
      <c r="E148" s="1119"/>
      <c r="F148" s="1119"/>
      <c r="G148" s="1119"/>
      <c r="H148" s="1119"/>
      <c r="I148" s="1119"/>
      <c r="J148" s="1119"/>
      <c r="K148" s="1119"/>
      <c r="L148" s="1119"/>
      <c r="M148" s="1119"/>
      <c r="N148" s="1119"/>
      <c r="O148" s="1119"/>
      <c r="P148" s="1119"/>
    </row>
    <row r="149" spans="2:16" ht="15" customHeight="1">
      <c r="B149" s="1119"/>
      <c r="C149" s="1119"/>
      <c r="D149" s="1119"/>
      <c r="E149" s="1119"/>
      <c r="F149" s="1119"/>
      <c r="G149" s="1119"/>
      <c r="H149" s="1119"/>
      <c r="I149" s="1119"/>
      <c r="J149" s="1119"/>
      <c r="K149" s="1119"/>
      <c r="L149" s="1119"/>
      <c r="M149" s="1119"/>
      <c r="N149" s="1119"/>
      <c r="O149" s="1119"/>
      <c r="P149" s="1119"/>
    </row>
    <row r="150" spans="2:16" ht="15" customHeight="1">
      <c r="B150" s="1119"/>
      <c r="C150" s="1119"/>
      <c r="D150" s="1119"/>
      <c r="E150" s="1119"/>
      <c r="F150" s="1119"/>
      <c r="G150" s="1119"/>
      <c r="H150" s="1119"/>
      <c r="I150" s="1119"/>
      <c r="J150" s="1119"/>
      <c r="K150" s="1119"/>
      <c r="L150" s="1119"/>
      <c r="M150" s="1119"/>
      <c r="N150" s="1119"/>
      <c r="O150" s="1119"/>
      <c r="P150" s="1119"/>
    </row>
    <row r="151" spans="2:16" ht="15" customHeight="1">
      <c r="B151" s="1119"/>
      <c r="C151" s="1119"/>
      <c r="D151" s="1119"/>
      <c r="E151" s="1119"/>
      <c r="F151" s="1119"/>
      <c r="G151" s="1119"/>
      <c r="H151" s="1119"/>
      <c r="I151" s="1119"/>
      <c r="J151" s="1119"/>
      <c r="K151" s="1119"/>
      <c r="L151" s="1119"/>
      <c r="M151" s="1119"/>
      <c r="N151" s="1119"/>
      <c r="O151" s="1119"/>
      <c r="P151" s="1119"/>
    </row>
    <row r="152" spans="2:16" ht="15" customHeight="1">
      <c r="B152" s="1119"/>
      <c r="C152" s="1119"/>
      <c r="D152" s="1119"/>
      <c r="E152" s="1119"/>
      <c r="F152" s="1119"/>
      <c r="G152" s="1119"/>
      <c r="H152" s="1119"/>
      <c r="I152" s="1119"/>
      <c r="J152" s="1119"/>
      <c r="K152" s="1119"/>
      <c r="L152" s="1119"/>
      <c r="M152" s="1119"/>
      <c r="N152" s="1119"/>
      <c r="O152" s="1119"/>
      <c r="P152" s="1119"/>
    </row>
    <row r="153" spans="2:16" ht="15" customHeight="1">
      <c r="B153" s="1119"/>
      <c r="C153" s="1119"/>
      <c r="D153" s="1119"/>
      <c r="E153" s="1119"/>
      <c r="F153" s="1119"/>
      <c r="G153" s="1119"/>
      <c r="H153" s="1119"/>
      <c r="I153" s="1119"/>
      <c r="J153" s="1119"/>
      <c r="K153" s="1119"/>
      <c r="L153" s="1119"/>
      <c r="M153" s="1119"/>
      <c r="N153" s="1119"/>
      <c r="O153" s="1119"/>
      <c r="P153" s="1119"/>
    </row>
  </sheetData>
  <mergeCells count="23">
    <mergeCell ref="L24:M24"/>
    <mergeCell ref="M28:O28"/>
    <mergeCell ref="L23:M23"/>
    <mergeCell ref="M27:O27"/>
    <mergeCell ref="D25:E25"/>
    <mergeCell ref="I28:J28"/>
    <mergeCell ref="I27:J27"/>
    <mergeCell ref="D28:E28"/>
    <mergeCell ref="D27:E27"/>
    <mergeCell ref="D26:E26"/>
    <mergeCell ref="K13:L13"/>
    <mergeCell ref="K12:L12"/>
    <mergeCell ref="C13:D13"/>
    <mergeCell ref="C7:D7"/>
    <mergeCell ref="C12:D12"/>
    <mergeCell ref="C9:D9"/>
    <mergeCell ref="C10:D10"/>
    <mergeCell ref="C11:D11"/>
    <mergeCell ref="K9:L9"/>
    <mergeCell ref="K10:L10"/>
    <mergeCell ref="K11:L11"/>
    <mergeCell ref="C8:D8"/>
    <mergeCell ref="K8:L8"/>
  </mergeCells>
  <phoneticPr fontId="0" type="noConversion"/>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3" tint="0.79998168889431442"/>
  </sheetPr>
  <dimension ref="A1:X74"/>
  <sheetViews>
    <sheetView topLeftCell="A46" zoomScale="90" zoomScaleNormal="90" workbookViewId="0"/>
  </sheetViews>
  <sheetFormatPr baseColWidth="10" defaultColWidth="9" defaultRowHeight="15" customHeight="1"/>
  <cols>
    <col min="1" max="1" width="3.7109375" style="1117" customWidth="1"/>
    <col min="2" max="2" width="9" style="1117"/>
    <col min="3" max="3" width="17" style="1117" bestFit="1" customWidth="1"/>
    <col min="4" max="16384" width="9" style="1117"/>
  </cols>
  <sheetData>
    <row r="1" spans="1:13" ht="17.25" customHeight="1">
      <c r="A1" s="1154"/>
    </row>
    <row r="5" spans="1:13" ht="21">
      <c r="B5" s="1158" t="s">
        <v>868</v>
      </c>
      <c r="C5" s="1119"/>
      <c r="D5" s="1119"/>
      <c r="E5" s="1119"/>
      <c r="F5" s="1119"/>
      <c r="G5" s="1119"/>
      <c r="H5" s="1119"/>
      <c r="I5" s="1119"/>
      <c r="J5" s="1119"/>
      <c r="K5" s="1119"/>
      <c r="L5" s="1119"/>
    </row>
    <row r="6" spans="1:13" ht="15" customHeight="1">
      <c r="B6" s="1225"/>
      <c r="C6" s="1119"/>
      <c r="D6" s="1119"/>
      <c r="E6" s="1119"/>
      <c r="F6" s="1119"/>
      <c r="G6" s="1119"/>
      <c r="H6" s="1119"/>
      <c r="I6" s="1119"/>
      <c r="J6" s="1119"/>
      <c r="K6" s="1119"/>
      <c r="L6" s="1119"/>
      <c r="M6" s="1119"/>
    </row>
    <row r="7" spans="1:13" ht="15" customHeight="1">
      <c r="B7" s="1119"/>
      <c r="C7" s="1119"/>
      <c r="D7" s="1119"/>
      <c r="E7" s="1119"/>
      <c r="F7" s="1119"/>
      <c r="G7" s="1119"/>
      <c r="H7" s="1119"/>
      <c r="I7" s="1119"/>
      <c r="J7" s="1119"/>
      <c r="K7" s="1119"/>
      <c r="L7" s="1119"/>
      <c r="M7" s="1119"/>
    </row>
    <row r="8" spans="1:13" ht="15" customHeight="1">
      <c r="B8" s="1142"/>
      <c r="C8" s="1119"/>
      <c r="D8" s="1119"/>
      <c r="E8" s="1119"/>
      <c r="F8" s="1119"/>
      <c r="G8" s="1119"/>
      <c r="H8" s="1119"/>
      <c r="I8" s="1119"/>
      <c r="J8" s="1119"/>
      <c r="K8" s="1119"/>
      <c r="L8" s="1119"/>
      <c r="M8" s="1119"/>
    </row>
    <row r="9" spans="1:13" ht="15" customHeight="1">
      <c r="B9" s="1142"/>
      <c r="C9" s="1119"/>
      <c r="D9" s="1119"/>
      <c r="E9" s="1119"/>
      <c r="F9" s="1119"/>
      <c r="G9" s="1119"/>
      <c r="H9" s="1119"/>
      <c r="I9" s="1119"/>
      <c r="J9" s="1119"/>
      <c r="K9" s="1119"/>
      <c r="L9" s="1119"/>
      <c r="M9" s="1119"/>
    </row>
    <row r="10" spans="1:13" ht="15" customHeight="1">
      <c r="B10" s="1142"/>
      <c r="C10" s="1119"/>
      <c r="D10" s="1119"/>
      <c r="E10" s="1119"/>
      <c r="F10" s="1119"/>
      <c r="G10" s="1119"/>
      <c r="H10" s="1119"/>
      <c r="I10" s="1119"/>
      <c r="J10" s="1119"/>
      <c r="K10" s="1119"/>
      <c r="L10" s="1119"/>
      <c r="M10" s="1119"/>
    </row>
    <row r="11" spans="1:13" ht="15" customHeight="1">
      <c r="B11" s="1142"/>
      <c r="C11" s="1119"/>
      <c r="D11" s="1119"/>
      <c r="E11" s="1119"/>
      <c r="F11" s="1119"/>
      <c r="G11" s="1119"/>
      <c r="H11" s="1119"/>
      <c r="I11" s="1119"/>
      <c r="J11" s="1119"/>
      <c r="K11" s="1119"/>
      <c r="L11" s="1119"/>
      <c r="M11" s="1119"/>
    </row>
    <row r="12" spans="1:13" ht="15" customHeight="1">
      <c r="B12" s="1142"/>
      <c r="C12" s="1119"/>
      <c r="D12" s="1119"/>
      <c r="E12" s="1119"/>
      <c r="F12" s="1119"/>
      <c r="G12" s="1119"/>
      <c r="H12" s="1119"/>
      <c r="I12" s="1119"/>
      <c r="J12" s="1119"/>
      <c r="K12" s="1119"/>
      <c r="L12" s="1119"/>
      <c r="M12" s="1119"/>
    </row>
    <row r="13" spans="1:13" ht="15" customHeight="1">
      <c r="B13" s="1226"/>
      <c r="C13" s="1119"/>
      <c r="D13" s="1119"/>
      <c r="E13" s="1119"/>
      <c r="F13" s="1119"/>
      <c r="G13" s="1119"/>
      <c r="H13" s="1119"/>
      <c r="I13" s="1119"/>
      <c r="J13" s="1119"/>
      <c r="K13" s="1119"/>
      <c r="L13" s="1119"/>
      <c r="M13" s="1119"/>
    </row>
    <row r="14" spans="1:13" ht="15" customHeight="1">
      <c r="B14" s="1142"/>
      <c r="C14" s="1119"/>
      <c r="D14" s="1119"/>
      <c r="E14" s="1119"/>
      <c r="F14" s="1119"/>
      <c r="G14" s="1119"/>
      <c r="H14" s="1119"/>
      <c r="I14" s="1119"/>
      <c r="J14" s="1119"/>
      <c r="K14" s="1119"/>
      <c r="L14" s="1119"/>
      <c r="M14" s="1119"/>
    </row>
    <row r="15" spans="1:13" ht="15" customHeight="1">
      <c r="B15" s="1119"/>
      <c r="C15" s="1119"/>
      <c r="D15" s="1119"/>
      <c r="E15" s="1119"/>
      <c r="F15" s="1119"/>
      <c r="G15" s="1119"/>
      <c r="H15" s="1119"/>
      <c r="I15" s="1119"/>
      <c r="J15" s="1119"/>
      <c r="K15" s="1119"/>
      <c r="L15" s="1119"/>
      <c r="M15" s="1119"/>
    </row>
    <row r="16" spans="1:13" ht="15" customHeight="1">
      <c r="B16" s="1119"/>
      <c r="C16" s="1119"/>
      <c r="D16" s="1119"/>
      <c r="E16" s="1119"/>
      <c r="F16" s="1119"/>
      <c r="G16" s="1119"/>
      <c r="H16" s="1119"/>
      <c r="I16" s="1119"/>
      <c r="J16" s="1119"/>
      <c r="K16" s="1119"/>
      <c r="L16" s="1119"/>
      <c r="M16" s="1119"/>
    </row>
    <row r="17" spans="2:18" ht="15" customHeight="1">
      <c r="B17" s="1119"/>
      <c r="C17" s="1119"/>
      <c r="D17" s="1119"/>
      <c r="E17" s="1119"/>
      <c r="F17" s="1119"/>
      <c r="G17" s="1119"/>
      <c r="H17" s="1119"/>
      <c r="I17" s="1119"/>
      <c r="J17" s="1119"/>
      <c r="K17" s="1119"/>
      <c r="L17" s="1119"/>
      <c r="M17" s="1119"/>
    </row>
    <row r="18" spans="2:18" ht="15" customHeight="1">
      <c r="B18" s="1119"/>
      <c r="C18" s="1119"/>
      <c r="D18" s="1119"/>
      <c r="E18" s="1119"/>
      <c r="F18" s="1119"/>
      <c r="G18" s="1119"/>
      <c r="H18" s="1119"/>
      <c r="I18" s="1119"/>
      <c r="J18" s="1119"/>
      <c r="K18" s="1119"/>
      <c r="L18" s="1119"/>
      <c r="M18" s="1119"/>
    </row>
    <row r="19" spans="2:18" ht="15" customHeight="1">
      <c r="B19" s="1119"/>
      <c r="C19" s="1119"/>
      <c r="D19" s="1119"/>
      <c r="E19" s="1119"/>
      <c r="F19" s="1119"/>
      <c r="G19" s="1119"/>
      <c r="H19" s="1119"/>
      <c r="I19" s="1119"/>
      <c r="J19" s="1119"/>
      <c r="K19" s="1119"/>
      <c r="L19" s="1119"/>
      <c r="M19" s="1119"/>
    </row>
    <row r="20" spans="2:18" ht="15" customHeight="1">
      <c r="B20" s="1119"/>
      <c r="C20" s="1119"/>
      <c r="D20" s="1119"/>
      <c r="E20" s="1119"/>
      <c r="F20" s="1119"/>
      <c r="G20" s="1119"/>
      <c r="H20" s="1119"/>
      <c r="I20" s="1119"/>
      <c r="J20" s="1119"/>
      <c r="K20" s="1119"/>
      <c r="L20" s="1119"/>
      <c r="M20" s="1119"/>
    </row>
    <row r="21" spans="2:18" ht="15" customHeight="1">
      <c r="B21" s="1119"/>
      <c r="C21" s="1119"/>
      <c r="D21" s="1119"/>
      <c r="E21" s="1119"/>
      <c r="F21" s="1119"/>
      <c r="G21" s="1119"/>
      <c r="H21" s="1119"/>
      <c r="I21" s="1119"/>
      <c r="J21" s="1119"/>
      <c r="K21" s="1119"/>
      <c r="L21" s="1119"/>
      <c r="M21" s="1119"/>
    </row>
    <row r="22" spans="2:18" ht="15" customHeight="1">
      <c r="B22" s="1119"/>
      <c r="C22" s="1227"/>
      <c r="D22" s="1214"/>
      <c r="E22" s="1119"/>
      <c r="F22" s="1119"/>
      <c r="G22" s="1119"/>
      <c r="H22" s="1119"/>
      <c r="I22" s="1119"/>
      <c r="J22" s="1119"/>
      <c r="K22" s="1119"/>
      <c r="L22" s="1119"/>
      <c r="M22" s="1119"/>
      <c r="N22" s="1119"/>
      <c r="O22" s="1119"/>
      <c r="P22" s="1119"/>
      <c r="Q22" s="1119"/>
      <c r="R22" s="1119"/>
    </row>
    <row r="23" spans="2:18" ht="15" customHeight="1">
      <c r="C23" s="1228"/>
      <c r="D23" s="1229"/>
      <c r="E23" s="1119"/>
      <c r="F23" s="1119"/>
      <c r="G23" s="1119"/>
      <c r="H23" s="1119"/>
      <c r="I23" s="1119"/>
      <c r="J23" s="1119"/>
      <c r="K23" s="1119"/>
      <c r="L23" s="1119"/>
      <c r="M23" s="1119"/>
      <c r="N23" s="1119"/>
      <c r="O23" s="1119"/>
      <c r="P23" s="1119"/>
      <c r="Q23" s="1119"/>
      <c r="R23" s="1119"/>
    </row>
    <row r="24" spans="2:18" ht="15" customHeight="1">
      <c r="C24" s="1228"/>
      <c r="D24" s="1229"/>
      <c r="E24" s="1119"/>
      <c r="F24" s="1119"/>
      <c r="G24" s="1119"/>
      <c r="H24" s="1119"/>
      <c r="I24" s="1119"/>
      <c r="J24" s="1119"/>
      <c r="K24" s="1119"/>
      <c r="L24" s="1119"/>
      <c r="M24" s="1119"/>
      <c r="N24" s="1119"/>
      <c r="O24" s="1119"/>
      <c r="P24" s="1119"/>
      <c r="Q24" s="1119"/>
      <c r="R24" s="1119"/>
    </row>
    <row r="25" spans="2:18" ht="15" customHeight="1">
      <c r="C25" s="1228"/>
      <c r="D25" s="1229"/>
      <c r="E25" s="1119"/>
      <c r="F25" s="1119"/>
      <c r="G25" s="1119"/>
      <c r="H25" s="1119"/>
      <c r="I25" s="1119"/>
      <c r="J25" s="1119"/>
      <c r="K25" s="1119"/>
      <c r="L25" s="1119"/>
      <c r="M25" s="1119"/>
      <c r="N25" s="1119"/>
      <c r="O25" s="1119"/>
      <c r="P25" s="1119"/>
      <c r="Q25" s="1119"/>
      <c r="R25" s="1119"/>
    </row>
    <row r="26" spans="2:18" ht="15" customHeight="1">
      <c r="C26" s="1228"/>
      <c r="D26" s="1229"/>
      <c r="E26" s="1119"/>
      <c r="F26" s="1119"/>
      <c r="G26" s="1119"/>
      <c r="H26" s="1119"/>
      <c r="I26" s="1119"/>
      <c r="J26" s="1119"/>
      <c r="K26" s="1119"/>
      <c r="L26" s="1119"/>
      <c r="M26" s="1119"/>
      <c r="N26" s="1119"/>
      <c r="O26" s="1119"/>
      <c r="P26" s="1119"/>
      <c r="Q26" s="1119"/>
      <c r="R26" s="1119"/>
    </row>
    <row r="27" spans="2:18" ht="15" customHeight="1">
      <c r="C27" s="1228"/>
      <c r="D27" s="1229"/>
      <c r="E27" s="1119"/>
      <c r="F27" s="1119"/>
      <c r="G27" s="1119"/>
      <c r="H27" s="1119"/>
      <c r="I27" s="1119"/>
      <c r="J27" s="1119"/>
      <c r="K27" s="1119"/>
      <c r="L27" s="1119"/>
      <c r="M27" s="1119"/>
      <c r="N27" s="1119"/>
      <c r="O27" s="1119"/>
      <c r="P27" s="1119"/>
      <c r="Q27" s="1119"/>
      <c r="R27" s="1119"/>
    </row>
    <row r="28" spans="2:18" ht="15" customHeight="1">
      <c r="C28" s="1228"/>
      <c r="D28" s="1229"/>
      <c r="E28" s="1119"/>
      <c r="F28" s="1119"/>
      <c r="G28" s="1119"/>
      <c r="H28" s="1119"/>
      <c r="I28" s="1119"/>
      <c r="J28" s="1119"/>
      <c r="K28" s="1119"/>
      <c r="L28" s="1119"/>
      <c r="M28" s="1119"/>
      <c r="N28" s="1119"/>
      <c r="O28" s="1119"/>
      <c r="P28" s="1119"/>
      <c r="Q28" s="1119"/>
      <c r="R28" s="1119"/>
    </row>
    <row r="29" spans="2:18" ht="15" customHeight="1">
      <c r="C29" s="1228"/>
      <c r="D29" s="1229"/>
      <c r="E29" s="1119"/>
      <c r="F29" s="1119"/>
      <c r="G29" s="1119"/>
      <c r="H29" s="1119"/>
      <c r="I29" s="1119"/>
      <c r="J29" s="1119"/>
      <c r="K29" s="1119"/>
      <c r="L29" s="1119"/>
      <c r="M29" s="1119"/>
      <c r="N29" s="1119"/>
      <c r="O29" s="1119"/>
      <c r="P29" s="1119"/>
      <c r="Q29" s="1119"/>
      <c r="R29" s="1119"/>
    </row>
    <row r="30" spans="2:18" ht="15" customHeight="1">
      <c r="C30" s="1228"/>
      <c r="D30" s="1229"/>
      <c r="E30" s="1119"/>
      <c r="F30" s="1119"/>
      <c r="G30" s="1119"/>
      <c r="H30" s="1119"/>
      <c r="I30" s="1119"/>
      <c r="J30" s="1119"/>
      <c r="K30" s="1119"/>
      <c r="L30" s="1119"/>
      <c r="M30" s="1119"/>
      <c r="N30" s="1119"/>
      <c r="O30" s="1119"/>
      <c r="P30" s="1119"/>
      <c r="Q30" s="1119"/>
      <c r="R30" s="1119"/>
    </row>
    <row r="31" spans="2:18" ht="15" customHeight="1">
      <c r="C31" s="1228"/>
      <c r="D31" s="1229"/>
      <c r="E31" s="1119"/>
      <c r="F31" s="1119"/>
      <c r="G31" s="1119"/>
      <c r="H31" s="1119"/>
      <c r="I31" s="1119"/>
      <c r="J31" s="1119"/>
      <c r="K31" s="1119"/>
      <c r="L31" s="1119"/>
      <c r="M31" s="1119"/>
      <c r="N31" s="1119"/>
      <c r="O31" s="1119"/>
      <c r="P31" s="1119"/>
      <c r="Q31" s="1119"/>
      <c r="R31" s="1119"/>
    </row>
    <row r="32" spans="2:18" ht="15" customHeight="1">
      <c r="C32" s="1228"/>
      <c r="D32" s="1229"/>
      <c r="E32" s="1119"/>
      <c r="F32" s="1119"/>
      <c r="G32" s="1119"/>
      <c r="H32" s="1119"/>
      <c r="I32" s="1119"/>
      <c r="J32" s="1119"/>
      <c r="K32" s="1119"/>
      <c r="L32" s="1119"/>
      <c r="M32" s="1119"/>
      <c r="N32" s="1119"/>
      <c r="O32" s="1119"/>
      <c r="P32" s="1119"/>
      <c r="Q32" s="1119"/>
      <c r="R32" s="1119"/>
    </row>
    <row r="33" spans="2:24" ht="15" customHeight="1">
      <c r="C33" s="1228"/>
      <c r="D33" s="1229"/>
      <c r="E33" s="1119"/>
      <c r="F33" s="1119"/>
      <c r="G33" s="1119"/>
      <c r="H33" s="1119"/>
      <c r="I33" s="1119"/>
      <c r="J33" s="1119"/>
      <c r="K33" s="1119"/>
      <c r="L33" s="1119"/>
      <c r="M33" s="1119"/>
      <c r="N33" s="1119"/>
      <c r="O33" s="1119"/>
      <c r="P33" s="1119"/>
      <c r="Q33" s="1119"/>
      <c r="R33" s="1119"/>
    </row>
    <row r="34" spans="2:24" ht="15" customHeight="1">
      <c r="C34" s="1228"/>
      <c r="D34" s="1229"/>
      <c r="E34" s="1119"/>
      <c r="F34" s="1119"/>
      <c r="G34" s="1119"/>
      <c r="H34" s="1119"/>
      <c r="I34" s="1119"/>
      <c r="J34" s="1119"/>
      <c r="K34" s="1119"/>
      <c r="L34" s="1119"/>
      <c r="M34" s="1119"/>
      <c r="N34" s="1119"/>
      <c r="O34" s="1119"/>
      <c r="P34" s="1119"/>
      <c r="Q34" s="1119"/>
      <c r="R34" s="1119"/>
    </row>
    <row r="35" spans="2:24" ht="15" customHeight="1">
      <c r="C35" s="1228"/>
      <c r="D35" s="1229"/>
      <c r="E35" s="1119"/>
      <c r="F35" s="1119"/>
      <c r="G35" s="1119"/>
      <c r="H35" s="1119"/>
      <c r="I35" s="1119"/>
      <c r="J35" s="1119"/>
      <c r="K35" s="1119"/>
      <c r="L35" s="1119"/>
      <c r="M35" s="1119"/>
      <c r="N35" s="1119"/>
      <c r="O35" s="1119"/>
      <c r="P35" s="1119"/>
      <c r="Q35" s="1119"/>
      <c r="R35" s="1119"/>
    </row>
    <row r="36" spans="2:24" ht="15" customHeight="1">
      <c r="C36" s="1119"/>
      <c r="D36" s="1119"/>
      <c r="E36" s="1119"/>
      <c r="F36" s="1119"/>
      <c r="G36" s="1119"/>
      <c r="H36" s="1119"/>
      <c r="I36" s="1119"/>
      <c r="J36" s="1119"/>
      <c r="K36" s="1119"/>
      <c r="L36" s="1119"/>
      <c r="M36" s="1119"/>
      <c r="N36" s="1119"/>
      <c r="O36" s="1119"/>
      <c r="P36" s="1119"/>
      <c r="Q36" s="1119"/>
      <c r="R36" s="1119"/>
    </row>
    <row r="37" spans="2:24" ht="15" customHeight="1">
      <c r="C37" s="1119"/>
      <c r="D37" s="1119"/>
      <c r="E37" s="1119"/>
      <c r="F37" s="1119"/>
      <c r="G37" s="1119"/>
      <c r="H37" s="1119"/>
      <c r="I37" s="1119"/>
      <c r="J37" s="1119"/>
      <c r="K37" s="1119"/>
      <c r="L37" s="1119"/>
      <c r="M37" s="1119"/>
      <c r="N37" s="1119"/>
      <c r="O37" s="1119"/>
      <c r="P37" s="1119"/>
      <c r="Q37" s="1119"/>
      <c r="R37" s="1119"/>
    </row>
    <row r="38" spans="2:24" ht="15" customHeight="1">
      <c r="C38" s="1119"/>
      <c r="D38" s="1119"/>
      <c r="E38" s="1119"/>
      <c r="F38" s="1119"/>
      <c r="G38" s="1119"/>
      <c r="H38" s="1119"/>
      <c r="I38" s="1119"/>
      <c r="J38" s="1119"/>
      <c r="K38" s="1119"/>
      <c r="L38" s="1119"/>
      <c r="M38" s="1119"/>
      <c r="N38" s="1119"/>
      <c r="O38" s="1119"/>
      <c r="P38" s="1119"/>
      <c r="Q38" s="1119"/>
      <c r="R38" s="1119"/>
    </row>
    <row r="39" spans="2:24" ht="15" customHeight="1">
      <c r="C39" s="1119"/>
      <c r="D39" s="1119"/>
      <c r="E39" s="1119"/>
      <c r="F39" s="1119"/>
      <c r="G39" s="1119"/>
      <c r="H39" s="1119"/>
      <c r="I39" s="1119"/>
      <c r="J39" s="1119"/>
      <c r="K39" s="1119"/>
      <c r="L39" s="1119"/>
      <c r="M39" s="1119"/>
      <c r="N39" s="1119"/>
      <c r="O39" s="1119"/>
      <c r="P39" s="1119"/>
      <c r="Q39" s="1119"/>
      <c r="R39" s="1119"/>
    </row>
    <row r="40" spans="2:24" ht="15" customHeight="1">
      <c r="C40" s="1119"/>
      <c r="D40" s="1119"/>
      <c r="E40" s="1119"/>
      <c r="F40" s="1119"/>
      <c r="G40" s="1119"/>
      <c r="H40" s="1119"/>
      <c r="I40" s="1119"/>
      <c r="J40" s="1119"/>
      <c r="K40" s="1119"/>
      <c r="L40" s="1119"/>
      <c r="M40" s="1119"/>
      <c r="N40" s="1119"/>
      <c r="O40" s="1119"/>
      <c r="P40" s="1119"/>
      <c r="Q40" s="1119"/>
      <c r="R40" s="1119"/>
    </row>
    <row r="41" spans="2:24" ht="15" customHeight="1">
      <c r="B41" s="1119"/>
      <c r="C41" s="1119"/>
      <c r="D41" s="1119"/>
      <c r="E41" s="1119"/>
      <c r="F41" s="1119"/>
      <c r="G41" s="1119"/>
      <c r="H41" s="1119"/>
      <c r="I41" s="1119"/>
      <c r="J41" s="1119"/>
      <c r="K41" s="1119"/>
      <c r="L41" s="1119"/>
      <c r="M41" s="1119"/>
      <c r="N41" s="1119"/>
      <c r="O41" s="1119"/>
      <c r="P41" s="1119"/>
      <c r="Q41" s="1119"/>
      <c r="R41" s="1119"/>
    </row>
    <row r="42" spans="2:24" ht="15" customHeight="1">
      <c r="B42" s="1119"/>
      <c r="C42" s="1119"/>
      <c r="D42" s="1119"/>
      <c r="E42" s="1119"/>
      <c r="F42" s="1119"/>
      <c r="G42" s="1119"/>
      <c r="H42" s="1119"/>
      <c r="I42" s="1119"/>
      <c r="J42" s="1119"/>
      <c r="K42" s="1119"/>
      <c r="L42" s="1119"/>
      <c r="M42" s="1119"/>
      <c r="N42" s="1119"/>
      <c r="O42" s="1119"/>
      <c r="P42" s="1119"/>
    </row>
    <row r="43" spans="2:24" ht="15" customHeight="1">
      <c r="B43" s="1230" t="s">
        <v>1479</v>
      </c>
      <c r="C43" s="1119"/>
      <c r="D43" s="1119"/>
      <c r="E43" s="1119"/>
      <c r="F43" s="1119"/>
      <c r="G43" s="1119"/>
      <c r="H43" s="1119"/>
      <c r="I43" s="1119"/>
      <c r="J43" s="1119"/>
      <c r="K43" s="1119"/>
      <c r="L43" s="1119"/>
      <c r="M43" s="1119"/>
      <c r="N43" s="1119"/>
      <c r="O43" s="1119"/>
      <c r="P43" s="1119"/>
    </row>
    <row r="44" spans="2:24" ht="15" customHeight="1">
      <c r="B44" s="1122" t="s">
        <v>1485</v>
      </c>
      <c r="C44" s="1119"/>
      <c r="D44" s="1119"/>
      <c r="E44" s="1119"/>
      <c r="F44" s="1119"/>
      <c r="G44" s="1119"/>
      <c r="H44" s="1119"/>
      <c r="I44" s="1119"/>
      <c r="J44" s="1119"/>
      <c r="K44" s="1119"/>
      <c r="L44" s="1119"/>
      <c r="M44" s="1119"/>
      <c r="N44" s="1119"/>
      <c r="O44" s="1119"/>
      <c r="P44" s="1119"/>
    </row>
    <row r="45" spans="2:24" ht="15" customHeight="1">
      <c r="B45" s="1122" t="s">
        <v>1473</v>
      </c>
      <c r="C45" s="1119"/>
      <c r="D45" s="1119"/>
      <c r="E45" s="1119"/>
      <c r="F45" s="1119"/>
      <c r="G45" s="1119"/>
      <c r="H45" s="1119"/>
      <c r="I45" s="1119"/>
      <c r="J45" s="1119"/>
      <c r="K45" s="1119"/>
      <c r="L45" s="1119"/>
      <c r="M45" s="1119"/>
      <c r="N45" s="1119"/>
      <c r="O45" s="1119"/>
      <c r="P45" s="1119"/>
      <c r="X45" s="1232" t="s">
        <v>1481</v>
      </c>
    </row>
    <row r="46" spans="2:24" ht="15" customHeight="1">
      <c r="B46" s="1122" t="s">
        <v>1474</v>
      </c>
      <c r="C46" s="1119"/>
      <c r="D46" s="1119"/>
      <c r="E46" s="1119"/>
      <c r="F46" s="1119"/>
      <c r="G46" s="1119"/>
      <c r="H46" s="1119"/>
      <c r="I46" s="1119"/>
      <c r="J46" s="1119"/>
      <c r="K46" s="1119"/>
      <c r="L46" s="1119"/>
      <c r="M46" s="1119"/>
      <c r="N46" s="1119"/>
      <c r="O46" s="1119"/>
      <c r="P46" s="1119"/>
    </row>
    <row r="47" spans="2:24" ht="15" customHeight="1">
      <c r="B47" s="1122" t="s">
        <v>1475</v>
      </c>
      <c r="C47" s="1119"/>
      <c r="D47" s="1119"/>
      <c r="E47" s="1119"/>
      <c r="F47" s="1119"/>
      <c r="G47" s="1119"/>
      <c r="H47" s="1119"/>
      <c r="I47" s="1119"/>
      <c r="J47" s="1119"/>
      <c r="K47" s="1119"/>
      <c r="L47" s="1119"/>
      <c r="M47" s="1119"/>
      <c r="N47" s="1119"/>
      <c r="O47" s="1119"/>
      <c r="P47" s="1119"/>
    </row>
    <row r="48" spans="2:24" ht="15" customHeight="1">
      <c r="B48" s="1231"/>
      <c r="C48" s="1119"/>
      <c r="D48" s="1119"/>
      <c r="E48" s="1119"/>
      <c r="F48" s="1119"/>
      <c r="G48" s="1122" t="s">
        <v>1486</v>
      </c>
      <c r="H48" s="1119"/>
      <c r="I48" s="1119"/>
      <c r="J48" s="1119"/>
      <c r="K48" s="1119"/>
      <c r="M48" s="1119"/>
      <c r="N48" s="1119"/>
      <c r="O48" s="1119"/>
      <c r="P48" s="1119"/>
    </row>
    <row r="49" spans="2:16" ht="15" customHeight="1">
      <c r="B49" s="1231"/>
      <c r="C49" s="1119"/>
      <c r="D49" s="1119"/>
      <c r="E49" s="1119"/>
      <c r="F49" s="1119"/>
      <c r="G49" s="1119"/>
      <c r="H49" s="1119"/>
      <c r="I49" s="1119"/>
      <c r="J49" s="1122" t="s">
        <v>1476</v>
      </c>
      <c r="K49" s="1119"/>
      <c r="L49" s="1119"/>
      <c r="M49" s="1119"/>
      <c r="N49" s="1119"/>
      <c r="O49" s="1119"/>
      <c r="P49" s="1119"/>
    </row>
    <row r="50" spans="2:16" ht="15" customHeight="1">
      <c r="B50" s="1122" t="s">
        <v>1478</v>
      </c>
      <c r="C50" s="1119"/>
      <c r="D50" s="1119"/>
      <c r="E50" s="1119"/>
      <c r="F50" s="1119"/>
      <c r="G50" s="1119"/>
      <c r="H50" s="1119"/>
      <c r="I50" s="1119"/>
      <c r="J50" s="1119"/>
      <c r="K50" s="1119"/>
      <c r="L50" s="1119"/>
      <c r="M50" s="1122" t="s">
        <v>1477</v>
      </c>
      <c r="N50" s="1119"/>
      <c r="O50" s="1119"/>
      <c r="P50" s="1119"/>
    </row>
    <row r="51" spans="2:16" ht="15" customHeight="1">
      <c r="C51" s="1119"/>
      <c r="D51" s="1119"/>
      <c r="E51" s="1119"/>
      <c r="F51" s="1119"/>
      <c r="G51" s="1119"/>
      <c r="H51" s="1119"/>
      <c r="I51" s="1119"/>
      <c r="J51" s="1119"/>
      <c r="K51" s="1119"/>
      <c r="L51" s="1119"/>
      <c r="M51" s="1119"/>
      <c r="N51" s="1119"/>
      <c r="O51" s="1119"/>
      <c r="P51" s="1119"/>
    </row>
    <row r="52" spans="2:16" ht="15" customHeight="1">
      <c r="B52" s="2026" t="s">
        <v>1480</v>
      </c>
      <c r="C52" s="1119"/>
      <c r="D52" s="1119"/>
      <c r="E52" s="1119"/>
      <c r="F52" s="1119"/>
      <c r="G52" s="1119"/>
      <c r="H52" s="1119"/>
      <c r="I52" s="1119"/>
      <c r="J52" s="1119"/>
      <c r="K52" s="1119"/>
      <c r="L52" s="1119"/>
      <c r="M52" s="1119"/>
      <c r="N52" s="1119"/>
      <c r="O52" s="1119"/>
      <c r="P52" s="1119"/>
    </row>
    <row r="53" spans="2:16" ht="15" customHeight="1">
      <c r="B53" s="2027" t="s">
        <v>1487</v>
      </c>
      <c r="C53" s="1119"/>
      <c r="D53" s="1119"/>
      <c r="E53" s="1119"/>
      <c r="F53" s="1119"/>
      <c r="G53" s="1119"/>
      <c r="H53" s="1119"/>
      <c r="I53" s="1119"/>
      <c r="J53" s="1119"/>
      <c r="K53" s="1119"/>
      <c r="L53" s="1119"/>
      <c r="M53" s="1119"/>
      <c r="N53" s="1119"/>
      <c r="O53" s="1119"/>
      <c r="P53" s="1119"/>
    </row>
    <row r="54" spans="2:16" ht="15" customHeight="1">
      <c r="B54" s="2027" t="s">
        <v>1483</v>
      </c>
      <c r="C54" s="1119"/>
      <c r="D54" s="1119"/>
      <c r="E54" s="1119"/>
      <c r="F54" s="1119"/>
      <c r="G54" s="1119"/>
      <c r="H54" s="1119"/>
      <c r="I54" s="1119"/>
      <c r="J54" s="1119"/>
      <c r="K54" s="1119"/>
      <c r="L54" s="1119"/>
      <c r="M54" s="1119"/>
      <c r="N54" s="1119"/>
      <c r="O54" s="1119"/>
      <c r="P54" s="1119"/>
    </row>
    <row r="55" spans="2:16" ht="15" customHeight="1">
      <c r="B55" s="2027" t="s">
        <v>1482</v>
      </c>
      <c r="C55" s="1119"/>
      <c r="D55" s="1119"/>
      <c r="E55" s="1119"/>
      <c r="F55" s="1119"/>
      <c r="G55" s="1119"/>
      <c r="H55" s="1119"/>
      <c r="I55" s="1119"/>
      <c r="J55" s="1119"/>
      <c r="K55" s="1119"/>
      <c r="L55" s="1119"/>
      <c r="M55" s="1119"/>
      <c r="N55" s="1119"/>
      <c r="O55" s="1119"/>
      <c r="P55" s="1119"/>
    </row>
    <row r="56" spans="2:16" ht="15" customHeight="1">
      <c r="B56" s="2028" t="s">
        <v>1484</v>
      </c>
      <c r="C56" s="1119"/>
      <c r="D56" s="1119"/>
      <c r="E56" s="1119"/>
      <c r="F56" s="1119"/>
      <c r="G56" s="1119"/>
      <c r="H56" s="1119"/>
      <c r="I56" s="1119"/>
      <c r="J56" s="1119"/>
      <c r="K56" s="1119"/>
      <c r="L56" s="1119"/>
      <c r="M56" s="1119"/>
      <c r="N56" s="1119"/>
      <c r="O56" s="1119"/>
      <c r="P56" s="1119"/>
    </row>
    <row r="57" spans="2:16" ht="15" customHeight="1">
      <c r="B57" s="2027" t="s">
        <v>1488</v>
      </c>
      <c r="C57" s="1119"/>
      <c r="D57" s="1119"/>
      <c r="E57" s="1119"/>
      <c r="F57" s="1119"/>
      <c r="G57" s="1119"/>
      <c r="H57" s="1119"/>
      <c r="I57" s="1119"/>
      <c r="J57" s="1119"/>
      <c r="K57" s="1119"/>
      <c r="L57" s="1119"/>
      <c r="M57" s="1119"/>
      <c r="N57" s="1119"/>
      <c r="O57" s="1119"/>
      <c r="P57" s="1119"/>
    </row>
    <row r="58" spans="2:16" ht="15" customHeight="1">
      <c r="C58" s="1119"/>
      <c r="D58" s="1119"/>
      <c r="E58" s="1119"/>
      <c r="F58" s="1119"/>
      <c r="G58" s="1119"/>
      <c r="H58" s="1119"/>
      <c r="I58" s="1119"/>
      <c r="J58" s="1119"/>
      <c r="K58" s="1119"/>
      <c r="L58" s="1119"/>
      <c r="M58" s="1119"/>
      <c r="N58" s="1119"/>
      <c r="O58" s="1119"/>
      <c r="P58" s="1119"/>
    </row>
    <row r="59" spans="2:16" ht="15" customHeight="1">
      <c r="N59" s="1119"/>
      <c r="O59" s="1119"/>
      <c r="P59" s="1119"/>
    </row>
    <row r="60" spans="2:16" ht="15" customHeight="1">
      <c r="B60" s="1119"/>
      <c r="C60" s="1119"/>
      <c r="D60" s="1119"/>
      <c r="E60" s="1119"/>
      <c r="F60" s="1119"/>
      <c r="G60" s="1119"/>
      <c r="H60" s="1119"/>
      <c r="I60" s="1119"/>
      <c r="J60" s="1119"/>
      <c r="K60" s="1119"/>
      <c r="L60" s="1119"/>
      <c r="M60" s="1119"/>
      <c r="N60" s="1119"/>
      <c r="O60" s="1119"/>
      <c r="P60" s="1119"/>
    </row>
    <row r="61" spans="2:16" ht="15" customHeight="1">
      <c r="B61" s="1119"/>
      <c r="C61" s="1119"/>
      <c r="D61" s="1119"/>
      <c r="E61" s="1119"/>
      <c r="F61" s="1119"/>
      <c r="G61" s="1119"/>
      <c r="H61" s="1119"/>
      <c r="I61" s="1119"/>
      <c r="J61" s="1119"/>
      <c r="K61" s="1119"/>
      <c r="L61" s="1119"/>
      <c r="M61" s="1119"/>
      <c r="N61" s="1119"/>
      <c r="O61" s="1119"/>
      <c r="P61" s="1119"/>
    </row>
    <row r="62" spans="2:16" ht="15" customHeight="1">
      <c r="B62" s="1119"/>
      <c r="C62" s="1119"/>
      <c r="D62" s="1119"/>
      <c r="E62" s="1119"/>
      <c r="F62" s="1119"/>
      <c r="G62" s="1119"/>
      <c r="H62" s="1119"/>
      <c r="I62" s="1119"/>
      <c r="J62" s="1119"/>
      <c r="K62" s="1119"/>
      <c r="L62" s="1119"/>
      <c r="M62" s="1119"/>
      <c r="N62" s="1119"/>
      <c r="O62" s="1119"/>
      <c r="P62" s="1119"/>
    </row>
    <row r="63" spans="2:16" ht="15" customHeight="1">
      <c r="B63" s="1119"/>
      <c r="C63" s="1119"/>
      <c r="D63" s="1119"/>
      <c r="E63" s="1119"/>
      <c r="F63" s="1119"/>
      <c r="G63" s="1119"/>
      <c r="H63" s="1119"/>
      <c r="I63" s="1119"/>
      <c r="J63" s="1119"/>
      <c r="K63" s="1119"/>
      <c r="L63" s="1119"/>
      <c r="M63" s="1119"/>
      <c r="N63" s="1119"/>
      <c r="O63" s="1119"/>
      <c r="P63" s="1119"/>
    </row>
    <row r="64" spans="2:16" ht="15" customHeight="1">
      <c r="B64" s="1119"/>
      <c r="C64" s="1119"/>
      <c r="D64" s="1119"/>
      <c r="E64" s="1119"/>
      <c r="F64" s="1119"/>
      <c r="G64" s="1119"/>
      <c r="H64" s="1119"/>
      <c r="I64" s="1119"/>
      <c r="J64" s="1119"/>
      <c r="K64" s="1119"/>
      <c r="L64" s="1119"/>
      <c r="M64" s="1119"/>
      <c r="N64" s="1119"/>
      <c r="O64" s="1119"/>
      <c r="P64" s="1119"/>
    </row>
    <row r="65" spans="2:16" ht="15" customHeight="1">
      <c r="B65" s="1119"/>
      <c r="C65" s="1119"/>
      <c r="D65" s="1119"/>
      <c r="E65" s="1119"/>
      <c r="F65" s="1119"/>
      <c r="G65" s="1119"/>
      <c r="H65" s="1119"/>
      <c r="I65" s="1119"/>
      <c r="J65" s="1119"/>
      <c r="K65" s="1119"/>
      <c r="L65" s="1119"/>
      <c r="M65" s="1119"/>
      <c r="N65" s="1119"/>
      <c r="O65" s="1119"/>
      <c r="P65" s="1119"/>
    </row>
    <row r="66" spans="2:16" ht="15" customHeight="1">
      <c r="B66" s="1119"/>
      <c r="C66" s="1119"/>
      <c r="D66" s="1119"/>
      <c r="E66" s="1119"/>
      <c r="F66" s="1119"/>
      <c r="G66" s="1119"/>
      <c r="H66" s="1119"/>
      <c r="I66" s="1119"/>
      <c r="J66" s="1119"/>
      <c r="K66" s="1119"/>
      <c r="L66" s="1119"/>
      <c r="M66" s="1119"/>
      <c r="N66" s="1119"/>
      <c r="O66" s="1119"/>
      <c r="P66" s="1119"/>
    </row>
    <row r="67" spans="2:16" ht="15" customHeight="1">
      <c r="B67" s="1119"/>
      <c r="C67" s="1119"/>
      <c r="D67" s="1119"/>
      <c r="E67" s="1119"/>
      <c r="F67" s="1119"/>
      <c r="G67" s="1119"/>
      <c r="H67" s="1119"/>
      <c r="I67" s="1119"/>
      <c r="J67" s="1119"/>
      <c r="K67" s="1119"/>
      <c r="L67" s="1119"/>
      <c r="M67" s="1119"/>
      <c r="N67" s="1119"/>
      <c r="O67" s="1119"/>
      <c r="P67" s="1119"/>
    </row>
    <row r="68" spans="2:16" ht="15" customHeight="1">
      <c r="B68" s="1119"/>
      <c r="C68" s="1119"/>
      <c r="D68" s="1119"/>
      <c r="E68" s="1119"/>
      <c r="F68" s="1119"/>
      <c r="G68" s="1119"/>
      <c r="H68" s="1119"/>
      <c r="I68" s="1119"/>
      <c r="J68" s="1119"/>
      <c r="K68" s="1119"/>
      <c r="L68" s="1119"/>
      <c r="M68" s="1119"/>
      <c r="N68" s="1119"/>
      <c r="O68" s="1119"/>
      <c r="P68" s="1119"/>
    </row>
    <row r="69" spans="2:16" ht="15" customHeight="1">
      <c r="B69" s="1119"/>
      <c r="C69" s="1119"/>
      <c r="D69" s="1119"/>
      <c r="E69" s="1119"/>
      <c r="F69" s="1119"/>
      <c r="G69" s="1119"/>
      <c r="H69" s="1119"/>
      <c r="I69" s="1119"/>
      <c r="J69" s="1119"/>
      <c r="K69" s="1119"/>
      <c r="L69" s="1119"/>
      <c r="M69" s="1119"/>
      <c r="N69" s="1119"/>
      <c r="O69" s="1119"/>
      <c r="P69" s="1119"/>
    </row>
    <row r="70" spans="2:16" ht="15" customHeight="1">
      <c r="B70" s="1119"/>
      <c r="C70" s="1119"/>
      <c r="D70" s="1119"/>
      <c r="E70" s="1119"/>
      <c r="F70" s="1119"/>
      <c r="G70" s="1119"/>
      <c r="H70" s="1119"/>
      <c r="I70" s="1119"/>
      <c r="J70" s="1119"/>
      <c r="K70" s="1119"/>
      <c r="L70" s="1119"/>
      <c r="M70" s="1119"/>
      <c r="N70" s="1119"/>
      <c r="O70" s="1119"/>
      <c r="P70" s="1119"/>
    </row>
    <row r="71" spans="2:16" ht="15" customHeight="1">
      <c r="B71" s="1119"/>
      <c r="C71" s="1119"/>
      <c r="D71" s="1119"/>
      <c r="E71" s="1119"/>
      <c r="F71" s="1119"/>
      <c r="G71" s="1119"/>
      <c r="H71" s="1119"/>
      <c r="I71" s="1119"/>
      <c r="J71" s="1119"/>
      <c r="K71" s="1119"/>
      <c r="L71" s="1119"/>
      <c r="M71" s="1119"/>
      <c r="N71" s="1119"/>
      <c r="O71" s="1119"/>
      <c r="P71" s="1119"/>
    </row>
    <row r="72" spans="2:16" ht="15" customHeight="1">
      <c r="B72" s="1119"/>
      <c r="C72" s="1119"/>
      <c r="D72" s="1119"/>
      <c r="E72" s="1119"/>
      <c r="F72" s="1119"/>
      <c r="G72" s="1119"/>
      <c r="H72" s="1119"/>
      <c r="I72" s="1119"/>
      <c r="J72" s="1119"/>
      <c r="K72" s="1119"/>
      <c r="L72" s="1119"/>
      <c r="M72" s="1119"/>
      <c r="N72" s="1119"/>
      <c r="O72" s="1119"/>
      <c r="P72" s="1119"/>
    </row>
    <row r="73" spans="2:16" ht="15" customHeight="1">
      <c r="B73" s="1119"/>
      <c r="C73" s="1119"/>
      <c r="D73" s="1119"/>
      <c r="E73" s="1119"/>
      <c r="F73" s="1119"/>
      <c r="G73" s="1119"/>
      <c r="H73" s="1119"/>
      <c r="I73" s="1119"/>
      <c r="J73" s="1119"/>
      <c r="K73" s="1119"/>
      <c r="L73" s="1119"/>
      <c r="M73" s="1119"/>
      <c r="N73" s="1119"/>
      <c r="O73" s="1119"/>
      <c r="P73" s="1119"/>
    </row>
    <row r="74" spans="2:16" ht="15" customHeight="1">
      <c r="B74" s="1119"/>
      <c r="C74" s="1119"/>
      <c r="D74" s="1119"/>
      <c r="E74" s="1119"/>
      <c r="F74" s="1119"/>
      <c r="G74" s="1119"/>
      <c r="H74" s="1119"/>
      <c r="I74" s="1119"/>
      <c r="J74" s="1119"/>
      <c r="K74" s="1119"/>
      <c r="L74" s="1119"/>
      <c r="M74" s="1119"/>
      <c r="N74" s="1119"/>
      <c r="O74" s="1119"/>
      <c r="P74" s="1119"/>
    </row>
  </sheetData>
  <phoneticPr fontId="0"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
  <sheetViews>
    <sheetView workbookViewId="0"/>
  </sheetViews>
  <sheetFormatPr baseColWidth="10" defaultColWidth="9.140625" defaultRowHeight="15"/>
  <sheetData/>
  <sheetProtection password="C682" sheet="1" objects="1" scenarios="1"/>
  <pageMargins left="0.7" right="0.7" top="0.75" bottom="0.75" header="0.3" footer="0.3"/>
  <customProperties>
    <customPr name="BOF_mappings_68c36bd1-8218-48f8-8397-c8e5d5036b3e" r:id="rId1"/>
    <customPr name="BOF_settings_68c36bd1-8218-48f8-8397-c8e5d5036b3e" r:id="rId2"/>
    <customPr name="BOF_sheet_68c36bd1-8218-48f8-8397-c8e5d5036b3e" r:id="rId3"/>
    <customPr name="BOF_userSelection_68c36bd1-8218-48f8-8397-c8e5d5036b3e" r:id="rId4"/>
  </customPropertie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rgb="FFFFFF00"/>
  </sheetPr>
  <dimension ref="A1:X172"/>
  <sheetViews>
    <sheetView tabSelected="1" topLeftCell="A38" zoomScale="85" zoomScaleNormal="85" workbookViewId="0">
      <selection activeCell="H112" sqref="H112"/>
    </sheetView>
  </sheetViews>
  <sheetFormatPr baseColWidth="10" defaultColWidth="9" defaultRowHeight="15" customHeight="1"/>
  <cols>
    <col min="1" max="1" width="3.7109375" style="1117" customWidth="1"/>
    <col min="2" max="2" width="23.28515625" style="1117" customWidth="1"/>
    <col min="3" max="3" width="17.140625" style="1117" customWidth="1"/>
    <col min="4" max="4" width="20.5703125" style="1117" customWidth="1"/>
    <col min="5" max="5" width="18.28515625" style="1117" customWidth="1"/>
    <col min="6" max="6" width="17.85546875" style="1117" customWidth="1"/>
    <col min="7" max="7" width="15" style="1117" customWidth="1"/>
    <col min="8" max="8" width="17.85546875" style="1117" customWidth="1"/>
    <col min="9" max="9" width="21.42578125" style="1117" customWidth="1"/>
    <col min="10" max="10" width="27.28515625" style="1117" customWidth="1"/>
    <col min="11" max="11" width="20.28515625" style="1117" customWidth="1"/>
    <col min="12" max="12" width="25.7109375" style="1117" customWidth="1"/>
    <col min="13" max="13" width="18.7109375" style="1117" customWidth="1"/>
    <col min="14" max="14" width="15" style="1117" bestFit="1" customWidth="1"/>
    <col min="15" max="15" width="15.5703125" style="1117" bestFit="1" customWidth="1"/>
    <col min="16" max="16" width="15" style="1117" bestFit="1" customWidth="1"/>
    <col min="17" max="17" width="14.7109375" style="1117" bestFit="1" customWidth="1"/>
    <col min="18" max="18" width="14.140625" style="1117" bestFit="1" customWidth="1"/>
    <col min="19" max="19" width="15.28515625" style="1117" bestFit="1" customWidth="1"/>
    <col min="20" max="21" width="9" style="1117"/>
    <col min="22" max="24" width="0" style="1117" hidden="1" customWidth="1"/>
    <col min="25" max="16384" width="9" style="1117"/>
  </cols>
  <sheetData>
    <row r="1" spans="1:9" ht="17.25" customHeight="1">
      <c r="A1" s="1154"/>
    </row>
    <row r="5" spans="1:9" ht="21">
      <c r="B5" s="1186" t="s">
        <v>3401</v>
      </c>
    </row>
    <row r="6" spans="1:9" ht="21.75" thickBot="1">
      <c r="B6" s="1186"/>
    </row>
    <row r="7" spans="1:9" ht="15" customHeight="1">
      <c r="B7" s="2337" t="s">
        <v>3400</v>
      </c>
      <c r="C7" s="2338"/>
      <c r="D7" s="2338"/>
      <c r="E7" s="2338"/>
      <c r="F7" s="2338"/>
      <c r="G7" s="2338"/>
      <c r="H7" s="2338"/>
      <c r="I7" s="2339"/>
    </row>
    <row r="8" spans="1:9" ht="15.75">
      <c r="B8" s="2343"/>
      <c r="C8" s="1119"/>
      <c r="D8" s="1119"/>
      <c r="E8" s="1119"/>
      <c r="F8" s="1119"/>
      <c r="G8" s="1119"/>
      <c r="H8" s="1119"/>
      <c r="I8" s="2341"/>
    </row>
    <row r="9" spans="1:9" ht="15" customHeight="1">
      <c r="B9" s="2340" t="s">
        <v>3404</v>
      </c>
      <c r="C9" s="1119"/>
      <c r="D9" s="1119"/>
      <c r="E9" s="1119"/>
      <c r="F9" s="1119"/>
      <c r="G9" s="1119"/>
      <c r="H9" s="1119"/>
      <c r="I9" s="2341"/>
    </row>
    <row r="10" spans="1:9" ht="15" customHeight="1">
      <c r="B10" s="2342" t="s">
        <v>3402</v>
      </c>
      <c r="C10" s="1119"/>
      <c r="D10" s="1119"/>
      <c r="E10" s="1119"/>
      <c r="F10" s="1119"/>
      <c r="G10" s="1119"/>
      <c r="H10" s="1119"/>
      <c r="I10" s="2341"/>
    </row>
    <row r="11" spans="1:9" ht="24.75" customHeight="1">
      <c r="B11" s="2380" t="s">
        <v>3403</v>
      </c>
      <c r="C11" s="1119"/>
      <c r="D11" s="1119"/>
      <c r="E11" s="1119"/>
      <c r="F11" s="1119"/>
      <c r="G11" s="1119"/>
      <c r="H11" s="1119"/>
      <c r="I11" s="2341"/>
    </row>
    <row r="12" spans="1:9" ht="15.75">
      <c r="B12" s="2378" t="s">
        <v>3443</v>
      </c>
      <c r="C12" s="1119"/>
      <c r="D12" s="1119"/>
      <c r="E12" s="1119"/>
      <c r="F12" s="1119"/>
      <c r="G12" s="1119"/>
      <c r="H12" s="1119"/>
      <c r="I12" s="2341"/>
    </row>
    <row r="13" spans="1:9" ht="30" customHeight="1">
      <c r="B13" s="2349" t="s">
        <v>3437</v>
      </c>
      <c r="C13" s="1119"/>
      <c r="D13" s="1119"/>
      <c r="E13" s="1119"/>
      <c r="F13" s="1119"/>
      <c r="G13" s="1119"/>
      <c r="H13" s="1119"/>
      <c r="I13" s="2341"/>
    </row>
    <row r="14" spans="1:9" ht="15" customHeight="1" thickBot="1">
      <c r="B14" s="2347" t="s">
        <v>30</v>
      </c>
      <c r="C14" s="2345"/>
      <c r="D14" s="2345"/>
      <c r="E14" s="2345"/>
      <c r="F14" s="2345"/>
      <c r="G14" s="2345"/>
      <c r="H14" s="2345"/>
      <c r="I14" s="2346"/>
    </row>
    <row r="15" spans="1:9" ht="15" customHeight="1" thickBot="1">
      <c r="B15" s="1190"/>
    </row>
    <row r="16" spans="1:9" ht="15" customHeight="1">
      <c r="B16" s="2337" t="s">
        <v>3399</v>
      </c>
      <c r="C16" s="2338"/>
      <c r="D16" s="2338"/>
      <c r="E16" s="2338"/>
      <c r="F16" s="2338"/>
      <c r="G16" s="2338"/>
      <c r="H16" s="2338"/>
      <c r="I16" s="2339"/>
    </row>
    <row r="17" spans="2:9" ht="15.75">
      <c r="B17" s="2340"/>
      <c r="C17" s="1119"/>
      <c r="D17" s="1119"/>
      <c r="E17" s="1119"/>
      <c r="F17" s="1119"/>
      <c r="G17" s="1119"/>
      <c r="H17" s="1119"/>
      <c r="I17" s="2341"/>
    </row>
    <row r="18" spans="2:9" ht="15" customHeight="1">
      <c r="B18" s="2379" t="s">
        <v>3430</v>
      </c>
      <c r="C18" s="1119"/>
      <c r="D18" s="1119"/>
      <c r="E18" s="1119"/>
      <c r="F18" s="1119"/>
      <c r="G18" s="1119"/>
      <c r="H18" s="1119"/>
      <c r="I18" s="2341"/>
    </row>
    <row r="19" spans="2:9" ht="15" customHeight="1">
      <c r="B19" s="2342" t="s">
        <v>3431</v>
      </c>
      <c r="C19" s="1119"/>
      <c r="D19" s="1119"/>
      <c r="E19" s="1119"/>
      <c r="F19" s="1119"/>
      <c r="G19" s="1119"/>
      <c r="H19" s="1119"/>
      <c r="I19" s="2341"/>
    </row>
    <row r="20" spans="2:9" ht="15" customHeight="1">
      <c r="B20" s="2348" t="s">
        <v>3432</v>
      </c>
      <c r="C20" s="1119"/>
      <c r="D20" s="1119"/>
      <c r="E20" s="1119"/>
      <c r="F20" s="1119"/>
      <c r="G20" s="1119"/>
      <c r="H20" s="1119"/>
      <c r="I20" s="2341"/>
    </row>
    <row r="21" spans="2:9" ht="24.75" customHeight="1">
      <c r="B21" s="2381" t="s">
        <v>3433</v>
      </c>
      <c r="C21" s="1119"/>
      <c r="D21" s="1119"/>
      <c r="E21" s="1119"/>
      <c r="F21" s="1119"/>
      <c r="G21" s="1119"/>
      <c r="H21" s="1119"/>
      <c r="I21" s="2341"/>
    </row>
    <row r="22" spans="2:9" ht="15.75">
      <c r="B22" s="2378" t="s">
        <v>3443</v>
      </c>
      <c r="C22" s="1119"/>
      <c r="D22" s="1119"/>
      <c r="E22" s="1119"/>
      <c r="F22" s="1119"/>
      <c r="G22" s="1119"/>
      <c r="H22" s="1119"/>
      <c r="I22" s="2341"/>
    </row>
    <row r="23" spans="2:9" ht="30" customHeight="1">
      <c r="B23" s="2349" t="s">
        <v>3436</v>
      </c>
      <c r="C23" s="1119"/>
      <c r="D23" s="1119"/>
      <c r="E23" s="1119"/>
      <c r="F23" s="1119"/>
      <c r="G23" s="1119"/>
      <c r="H23" s="1119"/>
      <c r="I23" s="2341"/>
    </row>
    <row r="24" spans="2:9" ht="15" customHeight="1" thickBot="1">
      <c r="B24" s="2344"/>
      <c r="C24" s="2345"/>
      <c r="D24" s="2345"/>
      <c r="E24" s="2345"/>
      <c r="F24" s="2345"/>
      <c r="G24" s="2345"/>
      <c r="H24" s="2345"/>
      <c r="I24" s="2346"/>
    </row>
    <row r="25" spans="2:9" ht="15" customHeight="1">
      <c r="B25" s="1119"/>
      <c r="C25" s="1119"/>
      <c r="D25" s="1119"/>
      <c r="E25" s="1119"/>
      <c r="F25" s="1119"/>
      <c r="G25" s="1119"/>
      <c r="H25" s="1119"/>
      <c r="I25" s="1119"/>
    </row>
    <row r="26" spans="2:9" ht="21">
      <c r="B26" s="1186" t="s">
        <v>3392</v>
      </c>
    </row>
    <row r="27" spans="2:9" ht="15.75">
      <c r="B27" s="2322" t="s">
        <v>3387</v>
      </c>
    </row>
    <row r="28" spans="2:9" ht="15.75">
      <c r="B28" s="2322" t="s">
        <v>3388</v>
      </c>
    </row>
    <row r="29" spans="2:9" ht="15.75">
      <c r="B29" s="2322" t="s">
        <v>3389</v>
      </c>
    </row>
    <row r="30" spans="2:9" ht="15.75">
      <c r="B30" s="2322" t="s">
        <v>3390</v>
      </c>
    </row>
    <row r="31" spans="2:9" ht="15.75">
      <c r="B31" s="2322" t="s">
        <v>3380</v>
      </c>
    </row>
    <row r="32" spans="2:9">
      <c r="B32" s="1584"/>
    </row>
    <row r="33" spans="2:2" ht="21">
      <c r="B33" s="2314" t="s">
        <v>3405</v>
      </c>
    </row>
    <row r="34" spans="2:2" ht="15" customHeight="1">
      <c r="B34" s="1694" t="s">
        <v>3391</v>
      </c>
    </row>
    <row r="35" spans="2:2" ht="15" customHeight="1">
      <c r="B35" s="1193" t="s">
        <v>3406</v>
      </c>
    </row>
    <row r="51" spans="2:9" ht="15" customHeight="1">
      <c r="I51" s="1193"/>
    </row>
    <row r="52" spans="2:9" ht="15" customHeight="1">
      <c r="I52" s="1193"/>
    </row>
    <row r="53" spans="2:9" ht="15" customHeight="1">
      <c r="I53" s="1193"/>
    </row>
    <row r="54" spans="2:9" ht="20.25" customHeight="1"/>
    <row r="55" spans="2:9" ht="21.75" customHeight="1">
      <c r="B55" s="1186" t="s">
        <v>3396</v>
      </c>
      <c r="I55" s="1186" t="s">
        <v>3398</v>
      </c>
    </row>
    <row r="56" spans="2:9" ht="15" customHeight="1">
      <c r="B56" s="2328" t="s">
        <v>3386</v>
      </c>
      <c r="I56" s="2335" t="s">
        <v>3397</v>
      </c>
    </row>
    <row r="84" spans="2:12" ht="21">
      <c r="B84" s="1209" t="s">
        <v>3409</v>
      </c>
      <c r="G84" s="1209" t="s">
        <v>3410</v>
      </c>
    </row>
    <row r="85" spans="2:12" ht="15" customHeight="1">
      <c r="B85" s="774"/>
      <c r="C85" s="2315" t="s">
        <v>3438</v>
      </c>
      <c r="D85" s="706"/>
      <c r="E85" s="212"/>
      <c r="G85" s="774"/>
      <c r="H85" s="2315" t="s">
        <v>3439</v>
      </c>
      <c r="I85" s="706"/>
      <c r="J85" s="212"/>
    </row>
    <row r="86" spans="2:12" ht="15" customHeight="1">
      <c r="B86" s="209"/>
      <c r="C86" s="88"/>
      <c r="D86" s="708"/>
      <c r="E86" s="213"/>
      <c r="G86" s="740"/>
      <c r="H86" s="750"/>
      <c r="I86" s="750"/>
      <c r="J86" s="213"/>
    </row>
    <row r="87" spans="2:12" ht="15" customHeight="1">
      <c r="B87" s="236"/>
      <c r="C87" s="708" t="s">
        <v>3374</v>
      </c>
      <c r="D87" s="708"/>
      <c r="E87" s="213"/>
      <c r="G87" s="236"/>
      <c r="H87" s="708" t="s">
        <v>3395</v>
      </c>
      <c r="I87" s="708"/>
      <c r="J87" s="213"/>
    </row>
    <row r="88" spans="2:12" ht="15" customHeight="1">
      <c r="B88" s="1257" t="s">
        <v>1021</v>
      </c>
      <c r="C88" s="208" t="e">
        <f ca="1">_xll.BQL(B88:B89,C87,"ShowIDs=F","ShowHeaders=F")</f>
        <v>#NAME?</v>
      </c>
      <c r="D88" s="751"/>
      <c r="E88" s="213"/>
      <c r="G88" s="1257" t="s">
        <v>3394</v>
      </c>
      <c r="H88" s="2332" t="e">
        <f ca="1">_xll.BQL(G88,H87,"FPT=A","FPO=RANGE(1,2)","ShowHeaders=F","ShowIDS=F")</f>
        <v>#NAME?</v>
      </c>
      <c r="I88" s="2333"/>
      <c r="J88" s="213"/>
    </row>
    <row r="89" spans="2:12" ht="15" customHeight="1">
      <c r="B89" s="1257" t="s">
        <v>3373</v>
      </c>
      <c r="C89" s="208"/>
      <c r="D89" s="208"/>
      <c r="E89" s="213"/>
      <c r="G89" s="206"/>
      <c r="H89" s="2332"/>
      <c r="I89" s="2334"/>
      <c r="J89" s="213"/>
    </row>
    <row r="90" spans="2:12" ht="15" customHeight="1">
      <c r="B90" s="789"/>
      <c r="C90" s="35"/>
      <c r="D90" s="35"/>
      <c r="E90" s="44"/>
      <c r="G90" s="789"/>
      <c r="H90" s="788"/>
      <c r="I90" s="35"/>
      <c r="J90" s="44"/>
    </row>
    <row r="91" spans="2:12" ht="15" customHeight="1">
      <c r="B91" s="1154"/>
      <c r="C91" s="1154"/>
      <c r="D91" s="1154"/>
      <c r="E91" s="1154"/>
      <c r="H91" s="1419"/>
    </row>
    <row r="92" spans="2:12" ht="16.5" customHeight="1">
      <c r="B92" s="1186" t="s">
        <v>3408</v>
      </c>
    </row>
    <row r="93" spans="2:12" ht="16.5" customHeight="1">
      <c r="B93" s="30"/>
      <c r="C93" s="2315" t="s">
        <v>3440</v>
      </c>
      <c r="D93" s="6"/>
      <c r="E93" s="6"/>
      <c r="F93" s="6"/>
      <c r="G93" s="6"/>
      <c r="H93" s="6"/>
      <c r="I93" s="7"/>
    </row>
    <row r="94" spans="2:12" s="1194" customFormat="1" ht="16.5" customHeight="1">
      <c r="B94" s="45"/>
      <c r="C94" s="2311"/>
      <c r="D94" s="2336"/>
      <c r="E94" s="296"/>
      <c r="F94" s="296"/>
      <c r="G94" s="296"/>
      <c r="H94" s="296"/>
      <c r="I94" s="2353"/>
      <c r="J94" s="1117"/>
      <c r="K94" s="1117"/>
      <c r="L94" s="1117"/>
    </row>
    <row r="95" spans="2:12" s="1194" customFormat="1" ht="16.5" customHeight="1">
      <c r="B95" s="45"/>
      <c r="C95" s="2352" t="s">
        <v>3407</v>
      </c>
      <c r="D95" s="2336"/>
      <c r="E95" s="296"/>
      <c r="F95" s="296"/>
      <c r="G95" s="296"/>
      <c r="H95" s="296"/>
      <c r="I95" s="2353"/>
      <c r="J95" s="1117"/>
      <c r="K95" s="1117"/>
      <c r="L95" s="1117"/>
    </row>
    <row r="96" spans="2:12" s="1194" customFormat="1" ht="16.5" customHeight="1">
      <c r="B96" s="45"/>
      <c r="C96" s="2325" t="e">
        <f ca="1">_xll.BQL(B97:B98,C95,"ShowIDS=F","ShowHeaders=F","Transpose=T")</f>
        <v>#NAME?</v>
      </c>
      <c r="D96" s="2336"/>
      <c r="E96" s="296"/>
      <c r="F96" s="296"/>
      <c r="G96" s="296"/>
      <c r="H96" s="296"/>
      <c r="I96" s="2353"/>
      <c r="J96" s="1117"/>
      <c r="K96" s="1117"/>
      <c r="L96" s="1117"/>
    </row>
    <row r="97" spans="2:13" ht="16.5" customHeight="1">
      <c r="B97" s="1257" t="s">
        <v>3384</v>
      </c>
      <c r="C97" s="2350"/>
      <c r="D97" s="2351"/>
      <c r="E97" s="2351"/>
      <c r="F97" s="2351"/>
      <c r="G97" s="2351"/>
      <c r="H97" s="2351"/>
      <c r="I97" s="2354"/>
    </row>
    <row r="98" spans="2:13" ht="16.5" customHeight="1">
      <c r="B98" s="1257" t="s">
        <v>3385</v>
      </c>
      <c r="C98" s="2351"/>
      <c r="D98" s="2351"/>
      <c r="E98" s="2351"/>
      <c r="F98" s="2351"/>
      <c r="G98" s="2351"/>
      <c r="H98" s="2351"/>
      <c r="I98" s="2355"/>
    </row>
    <row r="99" spans="2:13" ht="16.5" customHeight="1">
      <c r="B99" s="1213"/>
      <c r="C99" s="2326"/>
      <c r="D99" s="2326"/>
      <c r="E99" s="2326"/>
      <c r="F99" s="2326"/>
      <c r="G99" s="2326"/>
      <c r="H99" s="2326"/>
      <c r="I99" s="2356"/>
    </row>
    <row r="100" spans="2:13" ht="16.5" customHeight="1">
      <c r="B100" s="1122"/>
      <c r="C100" s="1122"/>
      <c r="D100" s="1122"/>
      <c r="E100" s="1122"/>
      <c r="F100" s="1122"/>
      <c r="G100" s="1122"/>
      <c r="H100" s="1122"/>
      <c r="I100" s="1122"/>
      <c r="J100" s="1122"/>
      <c r="K100" s="1122"/>
      <c r="L100" s="1122"/>
      <c r="M100" s="1161"/>
    </row>
    <row r="101" spans="2:13" ht="16.5" customHeight="1">
      <c r="B101" s="1186" t="s">
        <v>3412</v>
      </c>
      <c r="H101" s="1186" t="s">
        <v>3413</v>
      </c>
    </row>
    <row r="102" spans="2:13" ht="16.5" customHeight="1">
      <c r="B102" s="30"/>
      <c r="C102" s="2315" t="s">
        <v>3428</v>
      </c>
      <c r="D102" s="6"/>
      <c r="E102" s="6"/>
      <c r="F102" s="7"/>
      <c r="H102" s="112"/>
      <c r="I102" s="113"/>
      <c r="J102" s="6"/>
      <c r="K102" s="2315" t="s">
        <v>3427</v>
      </c>
      <c r="L102" s="114"/>
    </row>
    <row r="103" spans="2:13" ht="16.5" customHeight="1">
      <c r="B103" s="740"/>
      <c r="C103" s="676"/>
      <c r="D103" s="751"/>
      <c r="E103" s="751"/>
      <c r="F103" s="8"/>
      <c r="H103" s="82"/>
      <c r="I103" s="25"/>
      <c r="J103" s="25"/>
      <c r="K103" s="25"/>
      <c r="L103" s="43"/>
    </row>
    <row r="104" spans="2:13" ht="16.5" customHeight="1">
      <c r="B104" s="45"/>
      <c r="C104" s="751" t="s">
        <v>3411</v>
      </c>
      <c r="D104" s="426"/>
      <c r="E104" s="2310"/>
      <c r="F104" s="24"/>
      <c r="H104" s="420"/>
      <c r="I104" s="421"/>
      <c r="J104" s="25"/>
      <c r="K104" s="25" t="s">
        <v>3382</v>
      </c>
      <c r="L104" s="429"/>
    </row>
    <row r="105" spans="2:13" ht="16.5" customHeight="1">
      <c r="B105" s="1257" t="s">
        <v>3379</v>
      </c>
      <c r="C105" s="2321" t="e">
        <f ca="1">_xll.BQL(B105,C104)</f>
        <v>#NAME?</v>
      </c>
      <c r="D105" s="750"/>
      <c r="E105" s="428"/>
      <c r="F105" s="2327"/>
      <c r="H105" s="2323" t="s">
        <v>3383</v>
      </c>
      <c r="I105" s="2372"/>
      <c r="J105" s="2372"/>
      <c r="K105" s="2324" t="e">
        <f ca="1">_xll.BQL(H105,K104)</f>
        <v>#NAME?</v>
      </c>
      <c r="L105" s="59"/>
    </row>
    <row r="106" spans="2:13" ht="16.5" customHeight="1">
      <c r="B106" s="45"/>
      <c r="C106" s="25"/>
      <c r="D106" s="391"/>
      <c r="E106" s="428"/>
      <c r="F106" s="2327"/>
      <c r="H106" s="387"/>
      <c r="I106" s="22"/>
      <c r="J106" s="421"/>
      <c r="K106" s="421"/>
      <c r="L106" s="2357"/>
    </row>
    <row r="107" spans="2:13" ht="16.5" customHeight="1">
      <c r="B107" s="11"/>
      <c r="C107" s="9"/>
      <c r="D107" s="9"/>
      <c r="E107" s="9"/>
      <c r="F107" s="10"/>
      <c r="H107" s="389"/>
      <c r="I107" s="2320"/>
      <c r="J107" s="205"/>
      <c r="K107" s="2316"/>
      <c r="L107" s="2358"/>
      <c r="M107" s="1119"/>
    </row>
    <row r="108" spans="2:13" ht="16.5" customHeight="1">
      <c r="H108" s="1918"/>
      <c r="I108" s="1813"/>
      <c r="J108" s="2363"/>
      <c r="K108" s="2364"/>
      <c r="L108" s="2364"/>
      <c r="M108" s="1119"/>
    </row>
    <row r="109" spans="2:13" ht="16.5" customHeight="1">
      <c r="B109" s="1186" t="s">
        <v>3378</v>
      </c>
      <c r="H109" s="1186" t="s">
        <v>3451</v>
      </c>
      <c r="K109" s="1119"/>
      <c r="L109" s="1119"/>
      <c r="M109" s="1119"/>
    </row>
    <row r="110" spans="2:13" ht="16.5" customHeight="1">
      <c r="B110" s="112"/>
      <c r="C110" s="2315" t="s">
        <v>3441</v>
      </c>
      <c r="D110" s="2359"/>
      <c r="E110" s="113"/>
      <c r="F110" s="114"/>
      <c r="G110" s="1118"/>
      <c r="H110" s="112"/>
      <c r="I110" s="2315" t="s">
        <v>3429</v>
      </c>
      <c r="J110" s="113"/>
      <c r="K110" s="114"/>
      <c r="L110" s="1119"/>
      <c r="M110" s="1119"/>
    </row>
    <row r="111" spans="2:13" ht="16.5" customHeight="1">
      <c r="B111" s="82"/>
      <c r="C111" s="2360"/>
      <c r="D111" s="2360"/>
      <c r="E111" s="25"/>
      <c r="F111" s="43"/>
      <c r="G111" s="1118"/>
      <c r="H111" s="420"/>
      <c r="I111" s="35" t="s">
        <v>3381</v>
      </c>
      <c r="J111" s="421"/>
      <c r="K111" s="429"/>
      <c r="L111" s="1119"/>
      <c r="M111" s="1119"/>
    </row>
    <row r="112" spans="2:13">
      <c r="B112" s="420"/>
      <c r="C112" s="1981" t="s">
        <v>3376</v>
      </c>
      <c r="D112" s="421"/>
      <c r="E112" s="421"/>
      <c r="F112" s="429"/>
      <c r="G112" s="2365"/>
      <c r="H112" s="2367" t="s">
        <v>3452</v>
      </c>
      <c r="I112" s="2368"/>
      <c r="J112" s="2323"/>
      <c r="K112" s="2384"/>
      <c r="L112" s="1119"/>
      <c r="M112" s="1119"/>
    </row>
    <row r="113" spans="2:23" ht="48.75" customHeight="1">
      <c r="B113" s="2397" t="s">
        <v>3375</v>
      </c>
      <c r="C113" s="2398"/>
      <c r="D113" s="2361"/>
      <c r="E113" s="2361"/>
      <c r="F113" s="2362"/>
      <c r="G113" s="2366"/>
      <c r="H113" s="387" t="e">
        <f ca="1">_xll.BQL(H112,I111)</f>
        <v>#NAME?</v>
      </c>
      <c r="I113" s="22"/>
      <c r="J113" s="421"/>
      <c r="K113" s="429"/>
      <c r="L113" s="1119"/>
    </row>
    <row r="114" spans="2:23" ht="16.5" customHeight="1">
      <c r="B114" s="387" t="e">
        <f ca="1">_xll.BQL(B113,C112,"ShowHeaders=F")</f>
        <v>#NAME?</v>
      </c>
      <c r="C114" s="432"/>
      <c r="D114" s="204"/>
      <c r="E114" s="430"/>
      <c r="F114" s="2357"/>
      <c r="G114" s="2366"/>
      <c r="H114" s="387"/>
      <c r="I114" s="2319"/>
      <c r="J114" s="421"/>
      <c r="K114" s="429"/>
      <c r="L114" s="1119"/>
    </row>
    <row r="115" spans="2:23" ht="16.5" customHeight="1">
      <c r="B115" s="387"/>
      <c r="C115" s="432"/>
      <c r="D115" s="204"/>
      <c r="E115" s="430"/>
      <c r="F115" s="2357"/>
      <c r="G115" s="2366"/>
      <c r="H115" s="387"/>
      <c r="I115" s="2373"/>
      <c r="J115" s="421"/>
      <c r="K115" s="429"/>
      <c r="L115" s="1119"/>
    </row>
    <row r="116" spans="2:23" ht="16.5" customHeight="1">
      <c r="B116" s="387"/>
      <c r="C116" s="432"/>
      <c r="D116" s="204"/>
      <c r="E116" s="430"/>
      <c r="F116" s="2357"/>
      <c r="G116" s="2366"/>
      <c r="H116" s="387"/>
      <c r="I116" s="2319"/>
      <c r="J116" s="421"/>
      <c r="K116" s="429"/>
      <c r="L116" s="1119"/>
    </row>
    <row r="117" spans="2:23" ht="16.5" customHeight="1">
      <c r="B117" s="387"/>
      <c r="C117" s="432"/>
      <c r="D117" s="204"/>
      <c r="E117" s="430"/>
      <c r="F117" s="2357"/>
      <c r="G117" s="2366"/>
      <c r="H117" s="387"/>
      <c r="I117" s="2319"/>
      <c r="J117" s="421"/>
      <c r="K117" s="429"/>
      <c r="L117" s="1119"/>
    </row>
    <row r="118" spans="2:23" ht="16.5" customHeight="1">
      <c r="B118" s="387"/>
      <c r="C118" s="432"/>
      <c r="D118" s="204"/>
      <c r="E118" s="430"/>
      <c r="F118" s="2357"/>
      <c r="G118" s="2366"/>
      <c r="H118" s="387"/>
      <c r="I118" s="2319"/>
      <c r="J118" s="421"/>
      <c r="K118" s="429"/>
      <c r="L118" s="1119"/>
      <c r="N118" s="1419"/>
    </row>
    <row r="119" spans="2:23" ht="16.5" customHeight="1">
      <c r="B119" s="387"/>
      <c r="C119" s="432"/>
      <c r="D119" s="25"/>
      <c r="E119" s="25"/>
      <c r="F119" s="43"/>
      <c r="G119" s="1118"/>
      <c r="H119" s="387"/>
      <c r="I119" s="2319"/>
      <c r="J119" s="421"/>
      <c r="K119" s="429"/>
      <c r="L119" s="1119"/>
      <c r="N119" s="1419"/>
    </row>
    <row r="120" spans="2:23" ht="16.5" customHeight="1">
      <c r="B120" s="387"/>
      <c r="C120" s="432"/>
      <c r="D120" s="204"/>
      <c r="E120" s="430"/>
      <c r="F120" s="2357"/>
      <c r="G120" s="2366"/>
      <c r="H120" s="387"/>
      <c r="I120" s="2319"/>
      <c r="J120" s="421"/>
      <c r="K120" s="429"/>
      <c r="L120" s="1119"/>
      <c r="N120" s="1419"/>
    </row>
    <row r="121" spans="2:23" ht="16.5" customHeight="1">
      <c r="B121" s="387"/>
      <c r="C121" s="432"/>
      <c r="D121" s="204"/>
      <c r="E121" s="430"/>
      <c r="F121" s="2357"/>
      <c r="G121" s="2366"/>
      <c r="H121" s="387"/>
      <c r="I121" s="2319"/>
      <c r="J121" s="204"/>
      <c r="K121" s="2369"/>
      <c r="L121" s="1119"/>
      <c r="N121" s="1419"/>
    </row>
    <row r="122" spans="2:23" ht="16.5" customHeight="1">
      <c r="B122" s="387"/>
      <c r="C122" s="432"/>
      <c r="D122" s="204"/>
      <c r="E122" s="430"/>
      <c r="F122" s="2357"/>
      <c r="G122" s="2366"/>
      <c r="H122" s="389"/>
      <c r="I122" s="2320"/>
      <c r="J122" s="205"/>
      <c r="K122" s="2370"/>
      <c r="L122" s="1119"/>
      <c r="N122" s="1419"/>
    </row>
    <row r="123" spans="2:23" ht="16.5" customHeight="1">
      <c r="B123" s="387" t="s">
        <v>3377</v>
      </c>
      <c r="C123" s="432">
        <v>17.830004402022446</v>
      </c>
      <c r="D123" s="204"/>
      <c r="E123" s="430"/>
      <c r="F123" s="2357"/>
      <c r="G123" s="2366"/>
      <c r="H123" s="2366"/>
      <c r="I123" s="2366"/>
      <c r="K123" s="1119"/>
      <c r="L123" s="1119"/>
      <c r="N123" s="1419"/>
    </row>
    <row r="124" spans="2:23" ht="16.5" customHeight="1">
      <c r="B124" s="387"/>
      <c r="C124" s="2319"/>
      <c r="D124" s="204"/>
      <c r="E124" s="430"/>
      <c r="F124" s="2357"/>
      <c r="G124" s="2366"/>
      <c r="H124" s="2366"/>
      <c r="I124" s="2366"/>
      <c r="K124" s="1119"/>
      <c r="L124" s="1119"/>
      <c r="N124" s="1419"/>
    </row>
    <row r="125" spans="2:23" ht="16.5" customHeight="1">
      <c r="B125" s="389"/>
      <c r="C125" s="2320"/>
      <c r="D125" s="205"/>
      <c r="E125" s="2316"/>
      <c r="F125" s="2358"/>
      <c r="G125" s="2366"/>
      <c r="H125" s="2366"/>
      <c r="I125" s="2366"/>
      <c r="K125" s="1119"/>
      <c r="L125" s="1119"/>
      <c r="N125" s="1419"/>
    </row>
    <row r="126" spans="2:23" ht="16.5" customHeight="1">
      <c r="K126" s="1119"/>
      <c r="L126" s="1119"/>
      <c r="M126" s="1119"/>
      <c r="N126" s="1119"/>
      <c r="O126" s="1119"/>
      <c r="P126" s="1119"/>
      <c r="Q126" s="1119"/>
      <c r="R126" s="1119"/>
      <c r="S126" s="1119"/>
      <c r="T126" s="1119"/>
      <c r="U126" s="1119"/>
      <c r="V126" s="1119"/>
      <c r="W126" s="1119"/>
    </row>
    <row r="127" spans="2:23" ht="16.5" customHeight="1">
      <c r="B127" s="1186" t="s">
        <v>3415</v>
      </c>
      <c r="I127" s="1119"/>
      <c r="J127" s="1186" t="s">
        <v>3442</v>
      </c>
      <c r="U127" s="1119"/>
      <c r="V127" s="1119"/>
      <c r="W127" s="1119"/>
    </row>
    <row r="128" spans="2:23" ht="16.5" customHeight="1">
      <c r="B128" s="112"/>
      <c r="C128" s="2315" t="s">
        <v>3414</v>
      </c>
      <c r="D128" s="113"/>
      <c r="E128" s="113"/>
      <c r="F128" s="113"/>
      <c r="G128" s="113"/>
      <c r="H128" s="114"/>
      <c r="I128" s="1118"/>
      <c r="J128" s="112"/>
      <c r="K128" s="2315"/>
      <c r="L128" s="113"/>
      <c r="M128" s="113"/>
      <c r="N128" s="113"/>
      <c r="O128" s="113"/>
      <c r="P128" s="113"/>
      <c r="Q128" s="113"/>
      <c r="R128" s="113"/>
      <c r="S128" s="113"/>
      <c r="T128" s="114"/>
      <c r="U128" s="1119"/>
      <c r="V128" s="1119"/>
      <c r="W128" s="1119"/>
    </row>
    <row r="129" spans="2:24" ht="16.5" customHeight="1">
      <c r="B129" s="420"/>
      <c r="C129" s="421"/>
      <c r="D129" s="421"/>
      <c r="E129" s="421"/>
      <c r="F129" s="421"/>
      <c r="G129" s="423"/>
      <c r="H129" s="429"/>
      <c r="I129" s="2371"/>
      <c r="J129" s="420"/>
      <c r="K129" s="421"/>
      <c r="L129" s="421"/>
      <c r="M129" s="421"/>
      <c r="N129" s="421"/>
      <c r="O129" s="423"/>
      <c r="P129" s="423"/>
      <c r="Q129" s="423"/>
      <c r="R129" s="423"/>
      <c r="S129" s="423"/>
      <c r="T129" s="429"/>
      <c r="U129" s="1119"/>
      <c r="V129" s="1119"/>
      <c r="W129" s="1119"/>
    </row>
    <row r="130" spans="2:24" ht="78.75" customHeight="1">
      <c r="B130" s="2397" t="s">
        <v>3435</v>
      </c>
      <c r="C130" s="2399"/>
      <c r="D130" s="2399"/>
      <c r="E130" s="2399"/>
      <c r="F130" s="2399"/>
      <c r="G130" s="2398"/>
      <c r="H130" s="59"/>
      <c r="I130" s="2366"/>
      <c r="J130" s="2397" t="s">
        <v>3434</v>
      </c>
      <c r="K130" s="2399"/>
      <c r="L130" s="2399"/>
      <c r="M130" s="2399"/>
      <c r="N130" s="2398"/>
      <c r="O130" s="37"/>
      <c r="P130" s="37"/>
      <c r="Q130" s="37"/>
      <c r="R130" s="37"/>
      <c r="S130" s="37"/>
      <c r="T130" s="59"/>
      <c r="U130" s="1119"/>
      <c r="V130" s="1119"/>
      <c r="W130" s="1119"/>
    </row>
    <row r="131" spans="2:24" ht="16.5" customHeight="1">
      <c r="B131" s="387" t="e">
        <f ca="1">_xll.BQL.Query(B130)</f>
        <v>#NAME?</v>
      </c>
      <c r="C131" s="22"/>
      <c r="D131" s="204"/>
      <c r="E131" s="430"/>
      <c r="F131" s="430"/>
      <c r="G131" s="37"/>
      <c r="H131" s="59"/>
      <c r="I131" s="2366"/>
      <c r="J131" s="387"/>
      <c r="K131" s="2376" t="str">
        <f>J132</f>
        <v>ALXN US Equity</v>
      </c>
      <c r="L131" s="2374" t="str">
        <f>J133</f>
        <v>INCY US Equity</v>
      </c>
      <c r="M131" s="2375" t="str">
        <f>J134</f>
        <v>AMGN US Equity</v>
      </c>
      <c r="N131" s="2375" t="str">
        <f>J135</f>
        <v>ABBV UN Equity</v>
      </c>
      <c r="O131" s="2376" t="str">
        <f>J136</f>
        <v>REGN US Equity</v>
      </c>
      <c r="P131" s="2376" t="str">
        <f>J137</f>
        <v>CELG US Equity</v>
      </c>
      <c r="Q131" s="2376" t="str">
        <f>J138</f>
        <v>GILD US Equity</v>
      </c>
      <c r="R131" s="2376" t="str">
        <f>J139</f>
        <v>BIIB US Equity</v>
      </c>
      <c r="S131" s="2376" t="str">
        <f>J140</f>
        <v>VRTX US Equity</v>
      </c>
      <c r="T131" s="59"/>
      <c r="U131" s="1119"/>
      <c r="V131" s="1119" t="s">
        <v>3417</v>
      </c>
      <c r="W131" s="1119"/>
    </row>
    <row r="132" spans="2:24" ht="16.5" customHeight="1">
      <c r="B132" s="387"/>
      <c r="C132" s="432"/>
      <c r="D132" s="2329"/>
      <c r="E132" s="430"/>
      <c r="F132" s="430"/>
      <c r="G132" s="37"/>
      <c r="H132" s="59"/>
      <c r="I132" s="2366"/>
      <c r="J132" s="2383" t="s">
        <v>3418</v>
      </c>
      <c r="K132" s="2382" t="e">
        <f ca="1">_xll.BQL.Query("let(#PX=DROPNA(PCT_DIFF(DROPNA(PX_LAST(dates=range('-365D','0D')))));) get(corr(#PX,value(#PX, ['"&amp;K$131&amp;"']))) for(["&amp;$X$140&amp;"]) with (CA_ADJ=FULL)","ShowIDS=F","ShowHeaders=F")</f>
        <v>#NAME?</v>
      </c>
      <c r="L132" s="39" t="e">
        <f ca="1">_xll.BQL.Query("let(#PX=DROPNA(PCT_DIFF(DROPNA(PX_LAST(dates=range('-365D','0D')))));) get(corr(#PX,value(#PX, ['"&amp;L$131&amp;"']))) for(["&amp;$X$140&amp;"]) with (CA_ADJ=FULL)","ShowIDS=F","ShowHeaders=F")</f>
        <v>#NAME?</v>
      </c>
      <c r="M132" s="39" t="e">
        <f ca="1">_xll.BQL.Query("let(#PX=DROPNA(PCT_DIFF(DROPNA(PX_LAST(dates=range('-365D','0D')))));) get(corr(#PX,value(#PX, ['"&amp;M$131&amp;"']))) for(["&amp;$X$140&amp;"]) with (CA_ADJ=FULL)","ShowIDS=F","ShowHeaders=F")</f>
        <v>#NAME?</v>
      </c>
      <c r="N132" s="39" t="e">
        <f ca="1">_xll.BQL.Query("let(#PX=DROPNA(PCT_DIFF(DROPNA(PX_LAST(dates=range('-365D','0D')))));) get(corr(#PX,value(#PX, ['"&amp;N$131&amp;"']))) for(["&amp;$X$140&amp;"]) with (CA_ADJ=FULL)","ShowIDS=F","ShowHeaders=F")</f>
        <v>#NAME?</v>
      </c>
      <c r="O132" s="39" t="e">
        <f ca="1">_xll.BQL.Query("let(#PX=DROPNA(PCT_DIFF(DROPNA(PX_LAST(dates=range('-365D','0D')))));) get(corr(#PX,value(#PX, ['"&amp;O$131&amp;"']))) for(["&amp;$X$140&amp;"]) with (CA_ADJ=FULL)","ShowIDS=F","ShowHeaders=F")</f>
        <v>#NAME?</v>
      </c>
      <c r="P132" s="39" t="e">
        <f ca="1">_xll.BQL.Query("let(#PX=DROPNA(PCT_DIFF(DROPNA(PX_LAST(dates=range('-365D','0D')))));) get(corr(#PX,value(#PX, ['"&amp;P$131&amp;"']))) for(["&amp;$X$140&amp;"]) with (CA_ADJ=FULL)","ShowIDS=F","ShowHeaders=F")</f>
        <v>#NAME?</v>
      </c>
      <c r="Q132" s="39" t="e">
        <f ca="1">_xll.BQL.Query("let(#PX=DROPNA(PCT_DIFF(DROPNA(PX_LAST(dates=range('-365D','0D')))));) get(corr(#PX,value(#PX, ['"&amp;Q$131&amp;"']))) for(["&amp;$X$140&amp;"]) with (CA_ADJ=FULL)","ShowIDS=F","ShowHeaders=F")</f>
        <v>#NAME?</v>
      </c>
      <c r="R132" s="39" t="e">
        <f ca="1">_xll.BQL.Query("let(#PX=DROPNA(PCT_DIFF(DROPNA(PX_LAST(dates=range('-365D','0D')))));) get(corr(#PX,value(#PX, ['"&amp;R$131&amp;"']))) for(["&amp;$X$140&amp;"]) with (CA_ADJ=FULL)","ShowIDS=F","ShowHeaders=F")</f>
        <v>#NAME?</v>
      </c>
      <c r="S132" s="39" t="e">
        <f ca="1">_xll.BQL.Query("let(#PX=DROPNA(PCT_DIFF(DROPNA(PX_LAST(dates=range('-365D','0D')))));) get(corr(#PX,value(#PX, ['"&amp;S$131&amp;"']))) for(["&amp;$X$140&amp;"]) with (CA_ADJ=FULL)","ShowIDS=F","ShowHeaders=F")</f>
        <v>#NAME?</v>
      </c>
      <c r="T132" s="59"/>
      <c r="U132" s="1119"/>
      <c r="V132" s="1119" t="str">
        <f t="shared" ref="V132:V140" si="0">"'"&amp;J132&amp;"'"</f>
        <v>'ALXN US Equity'</v>
      </c>
      <c r="W132" s="1119"/>
      <c r="X132" s="1117" t="str">
        <f>V132</f>
        <v>'ALXN US Equity'</v>
      </c>
    </row>
    <row r="133" spans="2:24" ht="16.5" customHeight="1">
      <c r="B133" s="387"/>
      <c r="C133" s="432"/>
      <c r="D133" s="2329"/>
      <c r="E133" s="430"/>
      <c r="F133" s="430"/>
      <c r="G133" s="37"/>
      <c r="H133" s="59"/>
      <c r="I133" s="2366"/>
      <c r="J133" s="2383" t="s">
        <v>3419</v>
      </c>
      <c r="K133" s="39"/>
      <c r="L133" s="2382"/>
      <c r="M133" s="39"/>
      <c r="N133" s="39"/>
      <c r="O133" s="39"/>
      <c r="P133" s="39"/>
      <c r="Q133" s="39"/>
      <c r="R133" s="39"/>
      <c r="S133" s="39"/>
      <c r="T133" s="59"/>
      <c r="U133" s="1119"/>
      <c r="V133" s="1119" t="str">
        <f t="shared" si="0"/>
        <v>'INCY US Equity'</v>
      </c>
      <c r="W133" s="1119"/>
      <c r="X133" s="1117" t="str">
        <f>IF(V133="",X132,X132&amp;","&amp;V133)</f>
        <v>'ALXN US Equity','INCY US Equity'</v>
      </c>
    </row>
    <row r="134" spans="2:24" ht="16.5" customHeight="1">
      <c r="B134" s="387"/>
      <c r="C134" s="432"/>
      <c r="D134" s="2329"/>
      <c r="E134" s="430"/>
      <c r="F134" s="430"/>
      <c r="G134" s="37"/>
      <c r="H134" s="59"/>
      <c r="I134" s="2366"/>
      <c r="J134" s="2383" t="s">
        <v>3420</v>
      </c>
      <c r="K134" s="39"/>
      <c r="L134" s="39"/>
      <c r="M134" s="2382"/>
      <c r="N134" s="39"/>
      <c r="O134" s="39"/>
      <c r="P134" s="39"/>
      <c r="Q134" s="39"/>
      <c r="R134" s="39"/>
      <c r="S134" s="39"/>
      <c r="T134" s="59"/>
      <c r="U134" s="1119"/>
      <c r="V134" s="1119" t="str">
        <f t="shared" si="0"/>
        <v>'AMGN US Equity'</v>
      </c>
      <c r="W134" s="1119"/>
      <c r="X134" s="1117" t="str">
        <f t="shared" ref="X134:X135" si="1">IF(V134="",X133,X133&amp;","&amp;V134)</f>
        <v>'ALXN US Equity','INCY US Equity','AMGN US Equity'</v>
      </c>
    </row>
    <row r="135" spans="2:24" ht="16.5" customHeight="1">
      <c r="B135" s="387"/>
      <c r="C135" s="432"/>
      <c r="D135" s="2329"/>
      <c r="E135" s="430"/>
      <c r="F135" s="430"/>
      <c r="G135" s="37"/>
      <c r="H135" s="59"/>
      <c r="I135" s="2366"/>
      <c r="J135" s="2383" t="s">
        <v>3416</v>
      </c>
      <c r="K135" s="39"/>
      <c r="L135" s="39"/>
      <c r="M135" s="39"/>
      <c r="N135" s="2382"/>
      <c r="O135" s="39"/>
      <c r="P135" s="39"/>
      <c r="Q135" s="39"/>
      <c r="R135" s="39"/>
      <c r="S135" s="39"/>
      <c r="T135" s="59"/>
      <c r="U135" s="1119"/>
      <c r="V135" s="1119" t="str">
        <f t="shared" si="0"/>
        <v>'ABBV UN Equity'</v>
      </c>
      <c r="W135" s="1119"/>
      <c r="X135" s="1117" t="str">
        <f t="shared" si="1"/>
        <v>'ALXN US Equity','INCY US Equity','AMGN US Equity','ABBV UN Equity'</v>
      </c>
    </row>
    <row r="136" spans="2:24" ht="16.5" customHeight="1">
      <c r="B136" s="387"/>
      <c r="C136" s="432"/>
      <c r="D136" s="2329"/>
      <c r="E136" s="25"/>
      <c r="F136" s="25"/>
      <c r="G136" s="25"/>
      <c r="H136" s="43"/>
      <c r="I136" s="1118"/>
      <c r="J136" s="2383" t="s">
        <v>3421</v>
      </c>
      <c r="K136" s="39"/>
      <c r="L136" s="39"/>
      <c r="M136" s="39"/>
      <c r="N136" s="39"/>
      <c r="O136" s="2382"/>
      <c r="P136" s="39"/>
      <c r="Q136" s="39"/>
      <c r="R136" s="39"/>
      <c r="S136" s="39"/>
      <c r="T136" s="43"/>
      <c r="U136" s="1119"/>
      <c r="V136" s="1119" t="str">
        <f t="shared" si="0"/>
        <v>'REGN US Equity'</v>
      </c>
      <c r="W136" s="1119"/>
      <c r="X136" s="1117" t="str">
        <f t="shared" ref="X136:X140" si="2">IF(V136="",X135,X135&amp;","&amp;V136)</f>
        <v>'ALXN US Equity','INCY US Equity','AMGN US Equity','ABBV UN Equity','REGN US Equity'</v>
      </c>
    </row>
    <row r="137" spans="2:24" ht="16.5" customHeight="1">
      <c r="B137" s="387"/>
      <c r="C137" s="432"/>
      <c r="D137" s="2329"/>
      <c r="E137" s="430"/>
      <c r="F137" s="430"/>
      <c r="G137" s="37"/>
      <c r="H137" s="59"/>
      <c r="I137" s="2366"/>
      <c r="J137" s="2383" t="s">
        <v>3422</v>
      </c>
      <c r="K137" s="39"/>
      <c r="L137" s="39"/>
      <c r="M137" s="39"/>
      <c r="N137" s="39"/>
      <c r="O137" s="39"/>
      <c r="P137" s="2382"/>
      <c r="Q137" s="39"/>
      <c r="R137" s="39"/>
      <c r="S137" s="39"/>
      <c r="T137" s="59"/>
      <c r="U137" s="1119"/>
      <c r="V137" s="1119" t="str">
        <f t="shared" si="0"/>
        <v>'CELG US Equity'</v>
      </c>
      <c r="W137" s="1119"/>
      <c r="X137" s="1117" t="str">
        <f t="shared" si="2"/>
        <v>'ALXN US Equity','INCY US Equity','AMGN US Equity','ABBV UN Equity','REGN US Equity','CELG US Equity'</v>
      </c>
    </row>
    <row r="138" spans="2:24" ht="16.5" customHeight="1">
      <c r="B138" s="387"/>
      <c r="C138" s="432"/>
      <c r="D138" s="2329"/>
      <c r="E138" s="430"/>
      <c r="F138" s="430"/>
      <c r="G138" s="37"/>
      <c r="H138" s="59"/>
      <c r="I138" s="2366"/>
      <c r="J138" s="2383" t="s">
        <v>3423</v>
      </c>
      <c r="K138" s="39"/>
      <c r="L138" s="39"/>
      <c r="M138" s="39"/>
      <c r="N138" s="39"/>
      <c r="O138" s="39"/>
      <c r="P138" s="39"/>
      <c r="Q138" s="2382"/>
      <c r="R138" s="39"/>
      <c r="S138" s="39"/>
      <c r="T138" s="59"/>
      <c r="U138" s="1119"/>
      <c r="V138" s="1119" t="str">
        <f t="shared" si="0"/>
        <v>'GILD US Equity'</v>
      </c>
      <c r="W138" s="1119"/>
      <c r="X138" s="1117" t="str">
        <f t="shared" si="2"/>
        <v>'ALXN US Equity','INCY US Equity','AMGN US Equity','ABBV UN Equity','REGN US Equity','CELG US Equity','GILD US Equity'</v>
      </c>
    </row>
    <row r="139" spans="2:24" ht="16.5" customHeight="1">
      <c r="B139" s="387"/>
      <c r="C139" s="432"/>
      <c r="D139" s="2329"/>
      <c r="E139" s="430"/>
      <c r="F139" s="430"/>
      <c r="G139" s="37"/>
      <c r="H139" s="59"/>
      <c r="I139" s="2366"/>
      <c r="J139" s="2383" t="s">
        <v>3424</v>
      </c>
      <c r="K139" s="39"/>
      <c r="L139" s="39"/>
      <c r="M139" s="39"/>
      <c r="N139" s="39"/>
      <c r="O139" s="39"/>
      <c r="P139" s="39"/>
      <c r="Q139" s="39"/>
      <c r="R139" s="2382"/>
      <c r="S139" s="39"/>
      <c r="T139" s="59"/>
      <c r="U139" s="1119"/>
      <c r="V139" s="1119" t="str">
        <f t="shared" si="0"/>
        <v>'BIIB US Equity'</v>
      </c>
      <c r="W139" s="1119"/>
      <c r="X139" s="1117" t="str">
        <f t="shared" si="2"/>
        <v>'ALXN US Equity','INCY US Equity','AMGN US Equity','ABBV UN Equity','REGN US Equity','CELG US Equity','GILD US Equity','BIIB US Equity'</v>
      </c>
    </row>
    <row r="140" spans="2:24" ht="16.5" customHeight="1">
      <c r="B140" s="387"/>
      <c r="C140" s="432"/>
      <c r="D140" s="2329"/>
      <c r="E140" s="430"/>
      <c r="F140" s="430"/>
      <c r="G140" s="37"/>
      <c r="H140" s="59"/>
      <c r="I140" s="2366"/>
      <c r="J140" s="2383" t="s">
        <v>3425</v>
      </c>
      <c r="K140" s="39"/>
      <c r="L140" s="39"/>
      <c r="M140" s="39"/>
      <c r="N140" s="39"/>
      <c r="O140" s="39"/>
      <c r="P140" s="39"/>
      <c r="Q140" s="39"/>
      <c r="R140" s="39"/>
      <c r="S140" s="2382"/>
      <c r="T140" s="59"/>
      <c r="U140" s="1119"/>
      <c r="V140" s="1119" t="str">
        <f t="shared" si="0"/>
        <v>'VRTX US Equity'</v>
      </c>
      <c r="W140" s="1119"/>
      <c r="X140" s="1117" t="str">
        <f t="shared" si="2"/>
        <v>'ALXN US Equity','INCY US Equity','AMGN US Equity','ABBV UN Equity','REGN US Equity','CELG US Equity','GILD US Equity','BIIB US Equity','VRTX US Equity'</v>
      </c>
    </row>
    <row r="141" spans="2:24" ht="16.5" customHeight="1">
      <c r="B141" s="387"/>
      <c r="C141" s="432"/>
      <c r="D141" s="2329"/>
      <c r="E141" s="430"/>
      <c r="F141" s="430"/>
      <c r="G141" s="37"/>
      <c r="H141" s="59"/>
      <c r="I141" s="2366"/>
      <c r="J141" s="387"/>
      <c r="K141" s="432"/>
      <c r="L141" s="2329"/>
      <c r="M141" s="430"/>
      <c r="N141" s="430"/>
      <c r="O141" s="37"/>
      <c r="P141" s="37"/>
      <c r="Q141" s="37"/>
      <c r="R141" s="37"/>
      <c r="S141" s="37"/>
      <c r="T141" s="59"/>
      <c r="U141" s="1119"/>
      <c r="V141" s="1119"/>
      <c r="W141" s="1119"/>
    </row>
    <row r="142" spans="2:24" ht="16.5" customHeight="1">
      <c r="B142" s="387"/>
      <c r="C142" s="432"/>
      <c r="D142" s="2329"/>
      <c r="E142" s="430"/>
      <c r="F142" s="430"/>
      <c r="G142" s="37"/>
      <c r="H142" s="59"/>
      <c r="I142" s="2366"/>
      <c r="J142" s="387"/>
      <c r="K142" s="432"/>
      <c r="L142" s="2329"/>
      <c r="M142" s="430"/>
      <c r="N142" s="430"/>
      <c r="O142" s="37"/>
      <c r="P142" s="37"/>
      <c r="Q142" s="37"/>
      <c r="R142" s="37"/>
      <c r="S142" s="37"/>
      <c r="T142" s="59"/>
      <c r="U142" s="1119"/>
      <c r="V142" s="1119"/>
      <c r="W142" s="1119"/>
    </row>
    <row r="143" spans="2:24" ht="16.5" customHeight="1">
      <c r="B143" s="387"/>
      <c r="C143" s="432"/>
      <c r="D143" s="2329"/>
      <c r="E143" s="430"/>
      <c r="F143" s="430"/>
      <c r="G143" s="37"/>
      <c r="H143" s="59"/>
      <c r="I143" s="2366"/>
      <c r="J143" s="387"/>
      <c r="K143" s="432"/>
      <c r="L143" s="2329"/>
      <c r="M143" s="430"/>
      <c r="N143" s="430"/>
      <c r="O143" s="37"/>
      <c r="P143" s="37"/>
      <c r="Q143" s="37"/>
      <c r="R143" s="37"/>
      <c r="S143" s="37"/>
      <c r="T143" s="59"/>
      <c r="U143" s="1119"/>
      <c r="V143" s="1119"/>
      <c r="W143" s="1119"/>
    </row>
    <row r="144" spans="2:24" ht="16.5" customHeight="1">
      <c r="B144" s="387"/>
      <c r="C144" s="432"/>
      <c r="D144" s="2329"/>
      <c r="E144" s="430"/>
      <c r="F144" s="430"/>
      <c r="G144" s="37"/>
      <c r="H144" s="59"/>
      <c r="I144" s="2366"/>
      <c r="J144" s="387"/>
      <c r="K144" s="432"/>
      <c r="L144" s="2329"/>
      <c r="M144" s="430"/>
      <c r="N144" s="430"/>
      <c r="O144" s="37"/>
      <c r="P144" s="37"/>
      <c r="Q144" s="37"/>
      <c r="R144" s="37"/>
      <c r="S144" s="37"/>
      <c r="T144" s="59"/>
      <c r="U144" s="1119"/>
      <c r="V144" s="1119"/>
      <c r="W144" s="1119"/>
    </row>
    <row r="145" spans="2:23" ht="16.5" customHeight="1">
      <c r="B145" s="387"/>
      <c r="C145" s="432"/>
      <c r="D145" s="2329"/>
      <c r="E145" s="430"/>
      <c r="F145" s="430"/>
      <c r="G145" s="37"/>
      <c r="H145" s="59"/>
      <c r="I145" s="2366"/>
      <c r="J145" s="387"/>
      <c r="K145" s="432"/>
      <c r="L145" s="2329"/>
      <c r="M145" s="430"/>
      <c r="N145" s="430"/>
      <c r="O145" s="37"/>
      <c r="P145" s="37"/>
      <c r="Q145" s="37"/>
      <c r="R145" s="37"/>
      <c r="S145" s="37"/>
      <c r="T145" s="59"/>
      <c r="U145" s="1119"/>
      <c r="V145" s="1119"/>
      <c r="W145" s="1119"/>
    </row>
    <row r="146" spans="2:23" ht="16.5" customHeight="1">
      <c r="B146" s="387"/>
      <c r="C146" s="432"/>
      <c r="D146" s="2329"/>
      <c r="E146" s="430"/>
      <c r="F146" s="430"/>
      <c r="G146" s="37"/>
      <c r="H146" s="59"/>
      <c r="I146" s="2366"/>
      <c r="J146" s="387"/>
      <c r="K146" s="432"/>
      <c r="L146" s="2329"/>
      <c r="M146" s="430"/>
      <c r="N146" s="430"/>
      <c r="O146" s="37"/>
      <c r="P146" s="37"/>
      <c r="Q146" s="37"/>
      <c r="R146" s="37"/>
      <c r="S146" s="37"/>
      <c r="T146" s="59"/>
      <c r="U146" s="1119"/>
      <c r="V146" s="1119"/>
      <c r="W146" s="1119"/>
    </row>
    <row r="147" spans="2:23" ht="16.5" customHeight="1">
      <c r="B147" s="387"/>
      <c r="C147" s="432"/>
      <c r="D147" s="2329"/>
      <c r="E147" s="430"/>
      <c r="F147" s="430"/>
      <c r="G147" s="37"/>
      <c r="H147" s="59"/>
      <c r="I147" s="2366"/>
      <c r="J147" s="387"/>
      <c r="K147" s="432"/>
      <c r="L147" s="2329"/>
      <c r="M147" s="430"/>
      <c r="N147" s="430"/>
      <c r="O147" s="37"/>
      <c r="P147" s="37"/>
      <c r="Q147" s="37"/>
      <c r="R147" s="37"/>
      <c r="S147" s="37"/>
      <c r="T147" s="59"/>
      <c r="U147" s="1119"/>
      <c r="V147" s="1119"/>
      <c r="W147" s="1119"/>
    </row>
    <row r="148" spans="2:23" ht="16.5" customHeight="1">
      <c r="B148" s="387"/>
      <c r="C148" s="432"/>
      <c r="D148" s="2329"/>
      <c r="E148" s="430"/>
      <c r="F148" s="430"/>
      <c r="G148" s="37"/>
      <c r="H148" s="59"/>
      <c r="I148" s="2366"/>
      <c r="J148" s="387"/>
      <c r="K148" s="432"/>
      <c r="L148" s="2329"/>
      <c r="M148" s="430"/>
      <c r="N148" s="430"/>
      <c r="O148" s="37"/>
      <c r="P148" s="37"/>
      <c r="Q148" s="37"/>
      <c r="R148" s="37"/>
      <c r="S148" s="37"/>
      <c r="T148" s="59"/>
      <c r="U148" s="1119"/>
      <c r="V148" s="1119"/>
      <c r="W148" s="1119"/>
    </row>
    <row r="149" spans="2:23" ht="16.5" customHeight="1">
      <c r="B149" s="387"/>
      <c r="C149" s="432"/>
      <c r="D149" s="2329"/>
      <c r="E149" s="430"/>
      <c r="F149" s="430"/>
      <c r="G149" s="37"/>
      <c r="H149" s="59"/>
      <c r="I149" s="2366"/>
      <c r="J149" s="387"/>
      <c r="K149" s="432"/>
      <c r="L149" s="2329"/>
      <c r="M149" s="430"/>
      <c r="N149" s="430"/>
      <c r="O149" s="37"/>
      <c r="P149" s="37"/>
      <c r="Q149" s="37"/>
      <c r="R149" s="37"/>
      <c r="S149" s="37"/>
      <c r="T149" s="59"/>
      <c r="U149" s="1119"/>
      <c r="V149" s="1119"/>
      <c r="W149" s="1119"/>
    </row>
    <row r="150" spans="2:23" ht="16.5" customHeight="1">
      <c r="B150" s="387"/>
      <c r="C150" s="432"/>
      <c r="D150" s="2329"/>
      <c r="E150" s="430"/>
      <c r="F150" s="430"/>
      <c r="G150" s="37"/>
      <c r="H150" s="59"/>
      <c r="I150" s="2366"/>
      <c r="J150" s="387"/>
      <c r="K150" s="432"/>
      <c r="L150" s="2329"/>
      <c r="M150" s="430"/>
      <c r="N150" s="430"/>
      <c r="O150" s="37"/>
      <c r="P150" s="37"/>
      <c r="Q150" s="37"/>
      <c r="R150" s="37"/>
      <c r="S150" s="37"/>
      <c r="T150" s="59"/>
      <c r="U150" s="1119"/>
      <c r="V150" s="1119"/>
      <c r="W150" s="1119"/>
    </row>
    <row r="151" spans="2:23" ht="16.5" customHeight="1">
      <c r="B151" s="387"/>
      <c r="C151" s="432"/>
      <c r="D151" s="2329"/>
      <c r="E151" s="430"/>
      <c r="F151" s="430"/>
      <c r="G151" s="37"/>
      <c r="H151" s="59"/>
      <c r="I151" s="2366"/>
      <c r="J151" s="387"/>
      <c r="K151" s="432"/>
      <c r="L151" s="2329"/>
      <c r="M151" s="430"/>
      <c r="N151" s="430"/>
      <c r="O151" s="37"/>
      <c r="P151" s="37"/>
      <c r="Q151" s="37"/>
      <c r="R151" s="37"/>
      <c r="S151" s="37"/>
      <c r="T151" s="59"/>
      <c r="U151" s="1119"/>
      <c r="V151" s="1119"/>
      <c r="W151" s="1119"/>
    </row>
    <row r="152" spans="2:23" ht="16.5" customHeight="1">
      <c r="B152" s="389"/>
      <c r="C152" s="2318"/>
      <c r="D152" s="2330"/>
      <c r="E152" s="2316"/>
      <c r="F152" s="2316"/>
      <c r="G152" s="195"/>
      <c r="H152" s="2317"/>
      <c r="I152" s="2366"/>
      <c r="J152" s="2377" t="s">
        <v>3426</v>
      </c>
      <c r="K152" s="2318"/>
      <c r="L152" s="2330"/>
      <c r="M152" s="2316"/>
      <c r="N152" s="2316"/>
      <c r="O152" s="195"/>
      <c r="P152" s="195"/>
      <c r="Q152" s="195"/>
      <c r="R152" s="195"/>
      <c r="S152" s="195"/>
      <c r="T152" s="2317"/>
      <c r="U152" s="1119"/>
      <c r="V152" s="1119"/>
      <c r="W152" s="1119"/>
    </row>
    <row r="153" spans="2:23" ht="16.5" customHeight="1">
      <c r="K153" s="1119"/>
      <c r="L153" s="1119"/>
      <c r="M153" s="1119"/>
      <c r="N153" s="1119"/>
      <c r="O153" s="1119"/>
      <c r="P153" s="1119"/>
      <c r="Q153" s="1119"/>
      <c r="R153" s="1119"/>
      <c r="S153" s="1119"/>
      <c r="T153" s="1119"/>
      <c r="U153" s="1119"/>
      <c r="V153" s="1119"/>
      <c r="W153" s="1119"/>
    </row>
    <row r="154" spans="2:23" ht="16.5" customHeight="1">
      <c r="K154" s="1119"/>
      <c r="L154" s="1119"/>
      <c r="M154" s="1119"/>
      <c r="N154" s="1119"/>
      <c r="O154" s="1119"/>
      <c r="P154" s="1119"/>
      <c r="Q154" s="1119"/>
      <c r="R154" s="1119"/>
      <c r="S154" s="1119"/>
      <c r="T154" s="1119"/>
      <c r="U154" s="1119"/>
      <c r="V154" s="1119"/>
      <c r="W154" s="1119"/>
    </row>
    <row r="155" spans="2:23" ht="16.5" customHeight="1"/>
    <row r="156" spans="2:23" ht="16.5" customHeight="1"/>
    <row r="157" spans="2:23" ht="16.5" customHeight="1"/>
    <row r="158" spans="2:23" ht="16.5" customHeight="1"/>
    <row r="159" spans="2:23" ht="16.5" customHeight="1"/>
    <row r="160" spans="2:23" ht="16.5" customHeight="1"/>
    <row r="161" ht="16.5" customHeight="1"/>
    <row r="162" ht="16.5" customHeight="1"/>
    <row r="163" ht="16.5" customHeight="1"/>
    <row r="164" ht="16.5" customHeight="1"/>
    <row r="165" ht="16.5" customHeight="1"/>
    <row r="166" ht="16.5" customHeight="1"/>
    <row r="167" ht="16.5" customHeight="1"/>
    <row r="168" ht="16.5" customHeight="1"/>
    <row r="169" ht="16.5" customHeight="1"/>
    <row r="170" ht="16.5" customHeight="1"/>
    <row r="171" ht="16.5" customHeight="1"/>
    <row r="172" ht="16.5" customHeight="1"/>
  </sheetData>
  <mergeCells count="3">
    <mergeCell ref="B113:C113"/>
    <mergeCell ref="J130:N130"/>
    <mergeCell ref="B130:G130"/>
  </mergeCells>
  <conditionalFormatting sqref="K132:S140">
    <cfRule type="colorScale" priority="1">
      <colorScale>
        <cfvo type="min"/>
        <cfvo type="percentile" val="50"/>
        <cfvo type="max"/>
        <color rgb="FFF8696B"/>
        <color rgb="FFFFEB84"/>
        <color rgb="FF63BE7B"/>
      </colorScale>
    </cfRule>
  </conditionalFormatting>
  <hyperlinks>
    <hyperlink ref="B56" r:id="rId1" display="HELP BQLX&lt;GO&gt;"/>
    <hyperlink ref="I56" r:id="rId2"/>
  </hyperlinks>
  <pageMargins left="0.7" right="0.7" top="0.75" bottom="0.75" header="0.3" footer="0.3"/>
  <pageSetup paperSize="9"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rgb="FFFFFF00"/>
  </sheetPr>
  <dimension ref="A1:M276"/>
  <sheetViews>
    <sheetView zoomScale="90" zoomScaleNormal="90" workbookViewId="0"/>
  </sheetViews>
  <sheetFormatPr baseColWidth="10" defaultColWidth="9" defaultRowHeight="15" customHeight="1"/>
  <cols>
    <col min="1" max="1" width="3.7109375" style="1117" customWidth="1"/>
    <col min="2" max="2" width="17.85546875" style="1117" customWidth="1"/>
    <col min="3" max="3" width="26.42578125" style="1117" customWidth="1"/>
    <col min="4" max="4" width="20.5703125" style="1117" customWidth="1"/>
    <col min="5" max="5" width="18.28515625" style="1117" customWidth="1"/>
    <col min="6" max="8" width="17.85546875" style="1117" customWidth="1"/>
    <col min="9" max="9" width="22.85546875" style="1117" customWidth="1"/>
    <col min="10" max="10" width="24.42578125" style="1117" customWidth="1"/>
    <col min="11" max="11" width="20.28515625" style="1117" customWidth="1"/>
    <col min="12" max="12" width="30.42578125" style="1117" customWidth="1"/>
    <col min="13" max="16384" width="9" style="1117"/>
  </cols>
  <sheetData>
    <row r="1" spans="1:2" ht="17.25" customHeight="1">
      <c r="A1" s="1154"/>
    </row>
    <row r="5" spans="1:2" ht="21">
      <c r="B5" s="1158" t="s">
        <v>215</v>
      </c>
    </row>
    <row r="6" spans="1:2" ht="15" customHeight="1">
      <c r="B6" s="1189" t="s">
        <v>21</v>
      </c>
    </row>
    <row r="7" spans="1:2" ht="15" customHeight="1">
      <c r="B7" s="1190" t="s">
        <v>30</v>
      </c>
    </row>
    <row r="9" spans="1:2" ht="21">
      <c r="B9" s="1158" t="s">
        <v>57</v>
      </c>
    </row>
    <row r="10" spans="1:2" ht="15" customHeight="1">
      <c r="B10" s="1584" t="s">
        <v>1922</v>
      </c>
    </row>
    <row r="11" spans="1:2" ht="15" customHeight="1">
      <c r="B11" s="1584" t="s">
        <v>1921</v>
      </c>
    </row>
    <row r="12" spans="1:2" ht="15" customHeight="1">
      <c r="B12" s="1584" t="s">
        <v>1923</v>
      </c>
    </row>
    <row r="14" spans="1:2" ht="21">
      <c r="B14" s="1158" t="s">
        <v>29</v>
      </c>
    </row>
    <row r="15" spans="1:2" ht="15" customHeight="1">
      <c r="B15" s="1192" t="s">
        <v>1924</v>
      </c>
    </row>
    <row r="16" spans="1:2" ht="15" customHeight="1">
      <c r="B16" s="1192" t="s">
        <v>1490</v>
      </c>
    </row>
    <row r="32" spans="9:9" ht="15" customHeight="1">
      <c r="I32" s="1193"/>
    </row>
    <row r="46" spans="2:8" ht="21">
      <c r="B46" s="1209" t="s">
        <v>35</v>
      </c>
    </row>
    <row r="47" spans="2:8" ht="15" customHeight="1">
      <c r="B47" s="206"/>
      <c r="C47" s="373"/>
      <c r="D47" s="207"/>
      <c r="E47" s="207"/>
      <c r="F47" s="207"/>
      <c r="G47" s="207"/>
      <c r="H47" s="212"/>
    </row>
    <row r="48" spans="2:8" ht="15" customHeight="1">
      <c r="B48" s="209" t="s">
        <v>892</v>
      </c>
      <c r="C48" s="208" t="s">
        <v>945</v>
      </c>
      <c r="D48" s="751"/>
      <c r="E48" s="208"/>
      <c r="F48" s="208"/>
      <c r="G48" s="235"/>
      <c r="H48" s="213"/>
    </row>
    <row r="49" spans="2:9" ht="15" customHeight="1">
      <c r="B49" s="371"/>
      <c r="C49" s="1990" t="s">
        <v>1892</v>
      </c>
      <c r="D49" s="1989" t="s">
        <v>1893</v>
      </c>
      <c r="E49" s="219"/>
      <c r="F49" s="219"/>
      <c r="G49" s="219"/>
      <c r="H49" s="213"/>
    </row>
    <row r="50" spans="2:9" ht="15" customHeight="1">
      <c r="B50" s="371"/>
      <c r="C50" s="1991" t="s">
        <v>426</v>
      </c>
      <c r="D50" s="1992" t="s">
        <v>564</v>
      </c>
      <c r="E50" s="1147" t="s">
        <v>461</v>
      </c>
      <c r="F50" s="239" t="s">
        <v>890</v>
      </c>
      <c r="G50" s="1012"/>
      <c r="H50" s="8"/>
    </row>
    <row r="51" spans="2:9" ht="15" customHeight="1">
      <c r="B51" s="806" t="s">
        <v>1398</v>
      </c>
      <c r="C51" s="714" t="e">
        <f ca="1">_xll.BDP($B51,C$50)</f>
        <v>#NAME?</v>
      </c>
      <c r="D51" s="36" t="e">
        <f ca="1">_xll.BDP($B51,D$50)</f>
        <v>#NAME?</v>
      </c>
      <c r="E51" s="39" t="e">
        <f ca="1">_xll.BDP($B51,E$50)</f>
        <v>#NAME?</v>
      </c>
      <c r="F51" s="432" t="e">
        <f ca="1">_xll.BDP($B51,F$50)</f>
        <v>#NAME?</v>
      </c>
      <c r="G51" s="432"/>
      <c r="H51" s="1013"/>
    </row>
    <row r="52" spans="2:9" ht="15" customHeight="1">
      <c r="B52" s="242" t="s">
        <v>794</v>
      </c>
      <c r="C52" s="36" t="e">
        <f ca="1">_xll.BDP($B52,C$50)</f>
        <v>#NAME?</v>
      </c>
      <c r="D52" s="36" t="e">
        <f ca="1">_xll.BDP($B52,D$50)</f>
        <v>#NAME?</v>
      </c>
      <c r="E52" s="39" t="e">
        <f ca="1">_xll.BDP($B52,E$50)</f>
        <v>#NAME?</v>
      </c>
      <c r="F52" s="372" t="e">
        <f ca="1">_xll.BDP($B52,F$50)</f>
        <v>#NAME?</v>
      </c>
      <c r="G52" s="372"/>
      <c r="H52" s="382"/>
    </row>
    <row r="53" spans="2:9" ht="15" customHeight="1">
      <c r="B53" s="242" t="s">
        <v>46</v>
      </c>
      <c r="C53" s="36" t="e">
        <f ca="1">_xll.BDP($B53,C$50)</f>
        <v>#NAME?</v>
      </c>
      <c r="D53" s="36" t="e">
        <f ca="1">_xll.BDP($B53,D$50)</f>
        <v>#NAME?</v>
      </c>
      <c r="E53" s="39" t="e">
        <f ca="1">_xll.BDP($B53,E$50)</f>
        <v>#NAME?</v>
      </c>
      <c r="F53" s="372" t="e">
        <f ca="1">_xll.BDP($B53,F$50)</f>
        <v>#NAME?</v>
      </c>
      <c r="G53" s="372"/>
      <c r="H53" s="382"/>
    </row>
    <row r="54" spans="2:9" ht="15" customHeight="1">
      <c r="B54" s="242" t="s">
        <v>47</v>
      </c>
      <c r="C54" s="36" t="e">
        <f ca="1">_xll.BDP($B54,C$50)</f>
        <v>#NAME?</v>
      </c>
      <c r="D54" s="36" t="e">
        <f ca="1">_xll.BDP($B54,D$50)</f>
        <v>#NAME?</v>
      </c>
      <c r="E54" s="39" t="e">
        <f ca="1">_xll.BDP($B54,E$50)</f>
        <v>#NAME?</v>
      </c>
      <c r="F54" s="372" t="e">
        <f ca="1">_xll.BDP($B54,F$50)</f>
        <v>#NAME?</v>
      </c>
      <c r="G54" s="372"/>
      <c r="H54" s="383"/>
    </row>
    <row r="55" spans="2:9" ht="15" customHeight="1">
      <c r="B55" s="242" t="s">
        <v>793</v>
      </c>
      <c r="C55" s="36" t="e">
        <f ca="1">_xll.BDP($B55,C$50)</f>
        <v>#NAME?</v>
      </c>
      <c r="D55" s="36" t="e">
        <f ca="1">_xll.BDP($B55,D$50)</f>
        <v>#NAME?</v>
      </c>
      <c r="E55" s="39" t="e">
        <f ca="1">_xll.BDP($B55,E$50)</f>
        <v>#NAME?</v>
      </c>
      <c r="F55" s="372" t="e">
        <f ca="1">_xll.BDP($B55,F$50)</f>
        <v>#NAME?</v>
      </c>
      <c r="G55" s="372"/>
      <c r="H55" s="383"/>
    </row>
    <row r="56" spans="2:9" ht="15" customHeight="1">
      <c r="B56" s="236"/>
      <c r="C56" s="210"/>
      <c r="D56" s="210"/>
      <c r="E56" s="210"/>
      <c r="F56" s="210"/>
      <c r="G56" s="210"/>
      <c r="H56" s="238"/>
    </row>
    <row r="57" spans="2:9" ht="15" customHeight="1">
      <c r="B57" s="206"/>
      <c r="C57" s="207"/>
      <c r="D57" s="207"/>
      <c r="E57" s="207"/>
      <c r="F57" s="207"/>
      <c r="G57" s="207"/>
      <c r="H57" s="212"/>
    </row>
    <row r="58" spans="2:9" ht="15" customHeight="1">
      <c r="B58" s="82"/>
      <c r="C58" s="807" t="s">
        <v>1492</v>
      </c>
      <c r="D58" s="208"/>
      <c r="E58" s="208"/>
      <c r="F58" s="208"/>
      <c r="G58" s="208"/>
      <c r="H58" s="213"/>
    </row>
    <row r="59" spans="2:9" ht="15" customHeight="1">
      <c r="B59" s="209"/>
      <c r="C59" s="208"/>
      <c r="D59" s="808" t="s">
        <v>42</v>
      </c>
      <c r="E59" s="208"/>
      <c r="F59" s="208"/>
      <c r="G59" s="208"/>
      <c r="H59" s="213"/>
    </row>
    <row r="60" spans="2:9" ht="15" customHeight="1">
      <c r="B60" s="82"/>
      <c r="C60" s="208"/>
      <c r="D60" s="154"/>
      <c r="E60" s="154"/>
      <c r="F60" s="154"/>
      <c r="G60" s="154"/>
      <c r="H60" s="43"/>
    </row>
    <row r="61" spans="2:9" ht="15" customHeight="1">
      <c r="B61" s="209" t="s">
        <v>941</v>
      </c>
      <c r="C61" s="208"/>
      <c r="D61" s="208" t="s">
        <v>191</v>
      </c>
      <c r="E61" s="208"/>
      <c r="F61" s="235"/>
      <c r="G61" s="208" t="s">
        <v>942</v>
      </c>
      <c r="H61" s="213"/>
    </row>
    <row r="62" spans="2:9" ht="15" customHeight="1">
      <c r="B62" s="209" t="s">
        <v>36</v>
      </c>
      <c r="C62" s="208"/>
      <c r="D62" s="708" t="s">
        <v>1493</v>
      </c>
      <c r="E62" s="208"/>
      <c r="F62" s="235"/>
      <c r="G62" s="208" t="s">
        <v>943</v>
      </c>
      <c r="H62" s="213"/>
    </row>
    <row r="63" spans="2:9" ht="15" customHeight="1">
      <c r="B63" s="82"/>
      <c r="C63" s="208"/>
      <c r="D63" s="208" t="s">
        <v>192</v>
      </c>
      <c r="E63" s="208"/>
      <c r="F63" s="235"/>
      <c r="G63" s="25"/>
      <c r="H63" s="213"/>
    </row>
    <row r="64" spans="2:9" ht="15" customHeight="1">
      <c r="B64" s="789"/>
      <c r="C64" s="35"/>
      <c r="D64" s="35"/>
      <c r="E64" s="35"/>
      <c r="F64" s="35"/>
      <c r="G64" s="35"/>
      <c r="H64" s="384"/>
      <c r="I64" s="1119"/>
    </row>
    <row r="65" spans="2:12" ht="15" customHeight="1">
      <c r="B65" s="1154"/>
      <c r="C65" s="1154"/>
      <c r="D65" s="1154"/>
      <c r="E65" s="1154"/>
      <c r="F65" s="1154"/>
      <c r="G65" s="1154"/>
      <c r="H65" s="1154"/>
    </row>
    <row r="66" spans="2:12" ht="16.5" customHeight="1">
      <c r="B66" s="1154"/>
      <c r="C66" s="1154"/>
      <c r="D66" s="1154"/>
      <c r="E66" s="1154"/>
      <c r="F66" s="1154"/>
      <c r="G66" s="1154"/>
      <c r="H66" s="1154"/>
      <c r="I66" s="1211" t="s">
        <v>1960</v>
      </c>
      <c r="J66" s="1200"/>
      <c r="K66" s="1200"/>
      <c r="L66" s="1201"/>
    </row>
    <row r="67" spans="2:12" ht="16.5" customHeight="1">
      <c r="B67" s="1186" t="s">
        <v>1512</v>
      </c>
      <c r="C67" s="1154"/>
      <c r="D67" s="1154"/>
      <c r="E67" s="1154"/>
      <c r="F67" s="1154"/>
      <c r="G67" s="1154"/>
      <c r="H67" s="1154"/>
      <c r="I67" s="1213" t="s">
        <v>1961</v>
      </c>
      <c r="J67" s="1204"/>
      <c r="K67" s="1204"/>
      <c r="L67" s="1265"/>
    </row>
    <row r="68" spans="2:12" ht="16.5" customHeight="1">
      <c r="B68" s="378" t="s">
        <v>43</v>
      </c>
      <c r="C68" s="12"/>
      <c r="D68" s="12"/>
      <c r="E68" s="113"/>
      <c r="F68" s="113"/>
      <c r="G68" s="113"/>
      <c r="H68" s="114"/>
      <c r="I68" s="30"/>
      <c r="J68" s="2112" t="s">
        <v>1966</v>
      </c>
      <c r="K68" s="2113" t="s">
        <v>1967</v>
      </c>
      <c r="L68" s="7"/>
    </row>
    <row r="69" spans="2:12" ht="16.5" customHeight="1">
      <c r="B69" s="15"/>
      <c r="C69" s="318" t="s">
        <v>58</v>
      </c>
      <c r="D69" s="13"/>
      <c r="E69" s="25"/>
      <c r="F69" s="25"/>
      <c r="G69" s="25"/>
      <c r="H69" s="43"/>
      <c r="I69" s="740"/>
      <c r="J69" s="751" t="s">
        <v>471</v>
      </c>
      <c r="K69" s="2111" t="s">
        <v>1963</v>
      </c>
      <c r="L69" s="8"/>
    </row>
    <row r="70" spans="2:12" ht="16.5" customHeight="1">
      <c r="B70" s="15"/>
      <c r="C70" s="22" t="s">
        <v>471</v>
      </c>
      <c r="D70" s="13" t="s">
        <v>886</v>
      </c>
      <c r="E70" s="25"/>
      <c r="F70" s="25"/>
      <c r="G70" s="25"/>
      <c r="H70" s="43"/>
      <c r="I70" s="1257" t="s">
        <v>1965</v>
      </c>
      <c r="J70" s="2032" t="e">
        <f ca="1">_xll.BDP($I70,J$69)</f>
        <v>#NAME?</v>
      </c>
      <c r="K70" s="2114" t="e">
        <f ca="1">_xll.BDP($I70,K$69,L70)</f>
        <v>#NAME?</v>
      </c>
      <c r="L70" s="1257" t="s">
        <v>1962</v>
      </c>
    </row>
    <row r="71" spans="2:12" ht="16.5" customHeight="1">
      <c r="B71" s="1251" t="s">
        <v>887</v>
      </c>
      <c r="C71" s="329" t="e">
        <f ca="1">_xll.BDP($B71,C$70)</f>
        <v>#NAME?</v>
      </c>
      <c r="D71" s="22" t="e">
        <f ca="1">_xll.BDP($B71,D$70)</f>
        <v>#NAME?</v>
      </c>
      <c r="E71" s="25"/>
      <c r="F71" s="25"/>
      <c r="G71" s="25"/>
      <c r="H71" s="43"/>
      <c r="I71" s="1257" t="s">
        <v>1965</v>
      </c>
      <c r="J71" s="751" t="e">
        <f ca="1">_xll.BDP($I71,J$69)</f>
        <v>#NAME?</v>
      </c>
      <c r="K71" s="404" t="e">
        <f ca="1">_xll.BDP($I71,K$69,L71)</f>
        <v>#NAME?</v>
      </c>
      <c r="L71" s="1257" t="s">
        <v>1964</v>
      </c>
    </row>
    <row r="72" spans="2:12" ht="16.5" customHeight="1">
      <c r="B72" s="1252" t="s">
        <v>1499</v>
      </c>
      <c r="C72" s="22" t="e">
        <f ca="1">_xll.BDP($B72,C$70)</f>
        <v>#NAME?</v>
      </c>
      <c r="D72" s="22" t="e">
        <f ca="1">_xll.BDP($B72,D$70)</f>
        <v>#NAME?</v>
      </c>
      <c r="E72" s="25"/>
      <c r="F72" s="25"/>
      <c r="G72" s="25"/>
      <c r="H72" s="43"/>
      <c r="I72" s="740"/>
      <c r="J72" s="751"/>
      <c r="K72" s="751"/>
      <c r="L72" s="8"/>
    </row>
    <row r="73" spans="2:12" ht="16.5" customHeight="1">
      <c r="B73" s="1252" t="s">
        <v>1840</v>
      </c>
      <c r="C73" s="22" t="e">
        <f ca="1">_xll.BDP($B73,C$70)</f>
        <v>#NAME?</v>
      </c>
      <c r="D73" s="22" t="e">
        <f ca="1">_xll.BDP($B73,D$70)</f>
        <v>#NAME?</v>
      </c>
      <c r="E73" s="25"/>
      <c r="F73" s="25"/>
      <c r="G73" s="25"/>
      <c r="H73" s="43"/>
      <c r="I73" s="740"/>
      <c r="J73" s="751"/>
      <c r="K73" s="751"/>
      <c r="L73" s="8"/>
    </row>
    <row r="74" spans="2:12" ht="16.5" customHeight="1">
      <c r="B74" s="789"/>
      <c r="C74" s="35"/>
      <c r="D74" s="35"/>
      <c r="E74" s="33"/>
      <c r="F74" s="35"/>
      <c r="G74" s="35"/>
      <c r="H74" s="44"/>
      <c r="I74" s="11"/>
      <c r="J74" s="9"/>
      <c r="K74" s="9"/>
      <c r="L74" s="10"/>
    </row>
    <row r="75" spans="2:12" ht="16.5" customHeight="1">
      <c r="B75" s="1154"/>
      <c r="C75" s="1154"/>
      <c r="D75" s="1154"/>
      <c r="E75" s="1142"/>
      <c r="F75" s="1154"/>
      <c r="G75" s="1154"/>
      <c r="H75" s="1154"/>
    </row>
    <row r="76" spans="2:12" ht="16.5" customHeight="1">
      <c r="B76" s="112" t="s">
        <v>888</v>
      </c>
      <c r="C76" s="379"/>
      <c r="D76" s="379"/>
      <c r="E76" s="379"/>
      <c r="F76" s="12"/>
      <c r="G76" s="12"/>
      <c r="H76" s="47"/>
    </row>
    <row r="77" spans="2:12" ht="16.5" customHeight="1">
      <c r="B77" s="15"/>
      <c r="C77" s="318" t="s">
        <v>59</v>
      </c>
      <c r="D77" s="380"/>
      <c r="E77" s="380"/>
      <c r="F77" s="13"/>
      <c r="G77" s="13"/>
      <c r="H77" s="48"/>
    </row>
    <row r="78" spans="2:12" ht="16.5" customHeight="1">
      <c r="B78" s="15"/>
      <c r="C78" s="115" t="s">
        <v>889</v>
      </c>
      <c r="D78" s="115" t="s">
        <v>426</v>
      </c>
      <c r="E78" s="115" t="s">
        <v>470</v>
      </c>
      <c r="F78" s="115" t="s">
        <v>896</v>
      </c>
      <c r="G78" s="115" t="s">
        <v>463</v>
      </c>
      <c r="H78" s="48"/>
    </row>
    <row r="79" spans="2:12" ht="16.5" customHeight="1">
      <c r="B79" s="1253" t="s">
        <v>1494</v>
      </c>
      <c r="C79" s="374" t="e">
        <f ca="1">_xll.BDP($B79,C$78)</f>
        <v>#NAME?</v>
      </c>
      <c r="D79" s="36" t="e">
        <f ca="1">_xll.BDP($B79,D$78)</f>
        <v>#NAME?</v>
      </c>
      <c r="E79" s="39" t="e">
        <f ca="1">_xll.BDP($B79,E$78)</f>
        <v>#NAME?</v>
      </c>
      <c r="F79" s="39" t="e">
        <f ca="1">_xll.BDP($B79,F$78)</f>
        <v>#NAME?</v>
      </c>
      <c r="G79" s="39" t="e">
        <f ca="1">_xll.BDP($B79,G$78)</f>
        <v>#NAME?</v>
      </c>
      <c r="H79" s="48"/>
    </row>
    <row r="80" spans="2:12" ht="16.5" customHeight="1">
      <c r="B80" s="1253" t="s">
        <v>1839</v>
      </c>
      <c r="C80" s="372" t="e">
        <f ca="1">_xll.BDP($B80,C$78)</f>
        <v>#NAME?</v>
      </c>
      <c r="D80" s="36" t="e">
        <f ca="1">_xll.BDP($B80,D$78)</f>
        <v>#NAME?</v>
      </c>
      <c r="E80" s="39" t="e">
        <f ca="1">_xll.BDP($B80,E$78)</f>
        <v>#NAME?</v>
      </c>
      <c r="F80" s="39" t="e">
        <f ca="1">_xll.BDP($B80,F$78)</f>
        <v>#NAME?</v>
      </c>
      <c r="G80" s="39" t="e">
        <f ca="1">_xll.BDP($B80,G$78)</f>
        <v>#NAME?</v>
      </c>
      <c r="H80" s="48"/>
    </row>
    <row r="81" spans="2:11" ht="16.5" customHeight="1">
      <c r="B81" s="1253" t="s">
        <v>1838</v>
      </c>
      <c r="C81" s="392" t="e">
        <f ca="1">_xll.BDP($B81,C$78)</f>
        <v>#NAME?</v>
      </c>
      <c r="D81" s="385" t="e">
        <f ca="1">_xll.BDP($B81,D$78)</f>
        <v>#NAME?</v>
      </c>
      <c r="E81" s="192" t="e">
        <f ca="1">_xll.BDP($B81,E$78)</f>
        <v>#NAME?</v>
      </c>
      <c r="F81" s="192" t="e">
        <f ca="1">_xll.BDP($B81,F$78)</f>
        <v>#NAME?</v>
      </c>
      <c r="G81" s="192" t="e">
        <f ca="1">_xll.BDP($B81,G$78)</f>
        <v>#NAME?</v>
      </c>
      <c r="H81" s="51"/>
    </row>
    <row r="82" spans="2:11" ht="16.5" customHeight="1">
      <c r="B82" s="1198"/>
      <c r="C82" s="1198"/>
      <c r="D82" s="1198"/>
      <c r="E82" s="1199"/>
      <c r="F82" s="1198"/>
      <c r="G82" s="1198"/>
      <c r="H82" s="1198"/>
    </row>
    <row r="83" spans="2:11" ht="16.5" customHeight="1">
      <c r="B83" s="360" t="s">
        <v>44</v>
      </c>
      <c r="C83" s="196"/>
      <c r="D83" s="196"/>
      <c r="E83" s="196"/>
      <c r="F83" s="196"/>
      <c r="G83" s="196"/>
      <c r="H83" s="196"/>
      <c r="I83" s="6"/>
      <c r="J83" s="7"/>
    </row>
    <row r="84" spans="2:11" ht="16.5" customHeight="1">
      <c r="B84" s="363"/>
      <c r="C84" s="22"/>
      <c r="D84" s="22"/>
      <c r="E84" s="22"/>
      <c r="F84" s="22"/>
      <c r="G84" s="22"/>
      <c r="H84" s="22"/>
      <c r="I84" s="751"/>
      <c r="J84" s="8"/>
    </row>
    <row r="85" spans="2:11" ht="16.5" customHeight="1">
      <c r="B85" s="740"/>
      <c r="C85" s="751"/>
      <c r="D85" s="751"/>
      <c r="E85" s="751"/>
      <c r="F85" s="751"/>
      <c r="G85" s="751"/>
      <c r="H85" s="751"/>
      <c r="I85" s="751"/>
      <c r="J85" s="8"/>
    </row>
    <row r="86" spans="2:11" ht="16.5" customHeight="1">
      <c r="B86" s="740"/>
      <c r="C86" s="751"/>
      <c r="D86" s="751"/>
      <c r="E86" s="751"/>
      <c r="F86" s="751"/>
      <c r="G86" s="751"/>
      <c r="H86" s="751"/>
      <c r="I86" s="751"/>
      <c r="J86" s="8"/>
    </row>
    <row r="87" spans="2:11" ht="16.5" customHeight="1">
      <c r="B87" s="740"/>
      <c r="C87" s="751"/>
      <c r="D87" s="751"/>
      <c r="E87" s="751"/>
      <c r="F87" s="751"/>
      <c r="G87" s="751"/>
      <c r="H87" s="751"/>
      <c r="I87" s="751"/>
      <c r="J87" s="8"/>
    </row>
    <row r="88" spans="2:11" ht="16.5" customHeight="1">
      <c r="B88" s="740"/>
      <c r="C88" s="751"/>
      <c r="D88" s="751"/>
      <c r="E88" s="751"/>
      <c r="F88" s="751"/>
      <c r="G88" s="751"/>
      <c r="H88" s="751"/>
      <c r="I88" s="751"/>
      <c r="J88" s="8"/>
    </row>
    <row r="89" spans="2:11" ht="16.5" customHeight="1">
      <c r="B89" s="740"/>
      <c r="C89" s="751"/>
      <c r="D89" s="751"/>
      <c r="E89" s="751"/>
      <c r="F89" s="751" t="s">
        <v>526</v>
      </c>
      <c r="G89" s="751"/>
      <c r="H89" s="751"/>
      <c r="I89" s="751"/>
      <c r="J89" s="8"/>
    </row>
    <row r="90" spans="2:11" ht="16.5" customHeight="1">
      <c r="B90" s="40"/>
      <c r="C90" s="22"/>
      <c r="D90" s="22"/>
      <c r="E90" s="39"/>
      <c r="F90" s="39"/>
      <c r="G90" s="39"/>
      <c r="H90" s="432"/>
      <c r="I90" s="751"/>
      <c r="J90" s="8"/>
    </row>
    <row r="91" spans="2:11" ht="16.5" customHeight="1">
      <c r="B91" s="387"/>
      <c r="C91" s="388"/>
      <c r="D91" s="388"/>
      <c r="E91" s="388"/>
      <c r="F91" s="388"/>
      <c r="G91" s="388"/>
      <c r="H91" s="388"/>
      <c r="I91" s="751"/>
      <c r="J91" s="8"/>
    </row>
    <row r="92" spans="2:11" ht="16.5" customHeight="1">
      <c r="B92" s="387"/>
      <c r="C92" s="814" t="s">
        <v>1293</v>
      </c>
      <c r="D92" s="388"/>
      <c r="E92" s="388"/>
      <c r="F92" s="388"/>
      <c r="G92" s="388"/>
      <c r="H92" s="388"/>
      <c r="I92" s="751"/>
      <c r="J92" s="8"/>
    </row>
    <row r="93" spans="2:11" ht="16.5" customHeight="1">
      <c r="B93" s="1254" t="s">
        <v>45</v>
      </c>
      <c r="C93" s="381" t="s">
        <v>115</v>
      </c>
      <c r="D93" s="810" t="s">
        <v>116</v>
      </c>
      <c r="E93" s="22"/>
      <c r="F93" s="22"/>
      <c r="G93" s="22"/>
      <c r="H93" s="22"/>
      <c r="I93" s="751"/>
      <c r="J93" s="8"/>
    </row>
    <row r="94" spans="2:11" ht="16.5" customHeight="1">
      <c r="B94" s="363"/>
      <c r="C94" s="410" t="s">
        <v>117</v>
      </c>
      <c r="D94" s="37" t="s">
        <v>471</v>
      </c>
      <c r="E94" s="37" t="s">
        <v>50</v>
      </c>
      <c r="F94" s="37" t="s">
        <v>113</v>
      </c>
      <c r="G94" s="37" t="s">
        <v>885</v>
      </c>
      <c r="H94" s="37" t="s">
        <v>463</v>
      </c>
      <c r="I94" s="37" t="s">
        <v>184</v>
      </c>
      <c r="J94" s="24" t="s">
        <v>185</v>
      </c>
    </row>
    <row r="95" spans="2:11" ht="16.5" customHeight="1">
      <c r="B95" s="1253" t="s">
        <v>1491</v>
      </c>
      <c r="C95" s="331" t="str">
        <f>B95&amp;"@"&amp;$B$93&amp;" corp"</f>
        <v>EK0723446@RBSM corp</v>
      </c>
      <c r="D95" s="809" t="e">
        <f ca="1">_xll.BDP($C95,D$94)</f>
        <v>#NAME?</v>
      </c>
      <c r="E95" s="39" t="e">
        <f ca="1">_xll.BDP($C95,E$94)</f>
        <v>#NAME?</v>
      </c>
      <c r="F95" s="36" t="e">
        <f ca="1">_xll.BDP($C95,F$94)</f>
        <v>#NAME?</v>
      </c>
      <c r="G95" s="39" t="e">
        <f ca="1">_xll.BDP($C95,G$94)</f>
        <v>#NAME?</v>
      </c>
      <c r="H95" s="39" t="e">
        <f ca="1">_xll.BDP($C95,H$94)</f>
        <v>#NAME?</v>
      </c>
      <c r="I95" s="39" t="e">
        <f ca="1">_xll.BDP($C95,I$94)</f>
        <v>#NAME?</v>
      </c>
      <c r="J95" s="39" t="e">
        <f ca="1">_xll.BDP($C95,J$94)</f>
        <v>#NAME?</v>
      </c>
      <c r="K95" s="1202"/>
    </row>
    <row r="96" spans="2:11" ht="16.5" customHeight="1">
      <c r="B96" s="1254" t="s">
        <v>1315</v>
      </c>
      <c r="C96" s="42" t="str">
        <f>B96&amp;"@"&amp;$B$93&amp;" corp"</f>
        <v>FR0010915660@RBSM corp</v>
      </c>
      <c r="D96" s="372" t="e">
        <f ca="1">_xll.BDP($C96,D$94)</f>
        <v>#NAME?</v>
      </c>
      <c r="E96" s="39" t="e">
        <f ca="1">_xll.BDP($C96,E$94)</f>
        <v>#NAME?</v>
      </c>
      <c r="F96" s="36" t="e">
        <f ca="1">_xll.BDP($C96,F$94)</f>
        <v>#NAME?</v>
      </c>
      <c r="G96" s="39" t="e">
        <f ca="1">_xll.BDP($C96,G$94)</f>
        <v>#NAME?</v>
      </c>
      <c r="H96" s="39" t="e">
        <f ca="1">_xll.BDP($C96,H$94)</f>
        <v>#NAME?</v>
      </c>
      <c r="I96" s="39" t="e">
        <f ca="1">_xll.BDP($C96,I$94)</f>
        <v>#NAME?</v>
      </c>
      <c r="J96" s="39" t="e">
        <f ca="1">_xll.BDP($C96,J$94)</f>
        <v>#NAME?</v>
      </c>
      <c r="K96" s="1202"/>
    </row>
    <row r="97" spans="2:13" ht="16.5" customHeight="1">
      <c r="B97" s="1253" t="s">
        <v>1841</v>
      </c>
      <c r="C97" s="42" t="str">
        <f>B97&amp;"@"&amp;$B$93&amp;" corp"</f>
        <v>SEB 2 21@RBSM corp</v>
      </c>
      <c r="D97" s="372" t="e">
        <f ca="1">_xll.BDP($C97,D$94)</f>
        <v>#NAME?</v>
      </c>
      <c r="E97" s="39" t="e">
        <f ca="1">_xll.BDP($C97,E$94)</f>
        <v>#NAME?</v>
      </c>
      <c r="F97" s="36" t="e">
        <f ca="1">_xll.BDP($C97,F$94)</f>
        <v>#NAME?</v>
      </c>
      <c r="G97" s="39" t="e">
        <f ca="1">_xll.BDP($C97,G$94)</f>
        <v>#NAME?</v>
      </c>
      <c r="H97" s="39" t="e">
        <f ca="1">_xll.BDP($C97,H$94)</f>
        <v>#NAME?</v>
      </c>
      <c r="I97" s="39" t="e">
        <f ca="1">_xll.BDP($C97,I$94)</f>
        <v>#NAME?</v>
      </c>
      <c r="J97" s="39" t="e">
        <f ca="1">_xll.BDP($C97,J$94)</f>
        <v>#NAME?</v>
      </c>
      <c r="K97" s="1202"/>
    </row>
    <row r="98" spans="2:13" ht="16.5" customHeight="1">
      <c r="B98" s="389"/>
      <c r="C98" s="390"/>
      <c r="D98" s="390"/>
      <c r="E98" s="390"/>
      <c r="F98" s="390"/>
      <c r="G98" s="390"/>
      <c r="H98" s="390"/>
      <c r="I98" s="9"/>
      <c r="J98" s="10"/>
    </row>
    <row r="99" spans="2:13" ht="16.5" customHeight="1"/>
    <row r="100" spans="2:13" ht="16.5" customHeight="1">
      <c r="B100" s="112" t="s">
        <v>1513</v>
      </c>
      <c r="C100" s="12"/>
      <c r="D100" s="12"/>
      <c r="E100" s="12"/>
      <c r="F100" s="12"/>
      <c r="G100" s="12"/>
      <c r="H100" s="12"/>
      <c r="I100" s="12"/>
      <c r="J100" s="47"/>
      <c r="K100" s="1154"/>
    </row>
    <row r="101" spans="2:13" ht="16.5" customHeight="1">
      <c r="B101" s="82"/>
      <c r="C101" s="386" t="s">
        <v>61</v>
      </c>
      <c r="D101" s="13"/>
      <c r="E101" s="318" t="s">
        <v>62</v>
      </c>
      <c r="F101" s="13"/>
      <c r="G101" s="13"/>
      <c r="H101" s="13"/>
      <c r="I101" s="13"/>
      <c r="J101" s="48"/>
      <c r="K101" s="1154"/>
    </row>
    <row r="102" spans="2:13" ht="16.5" customHeight="1">
      <c r="B102" s="15"/>
      <c r="C102" s="750"/>
      <c r="D102" s="22"/>
      <c r="E102" s="115" t="s">
        <v>471</v>
      </c>
      <c r="F102" s="115" t="s">
        <v>426</v>
      </c>
      <c r="G102" s="115" t="s">
        <v>470</v>
      </c>
      <c r="H102" s="115" t="s">
        <v>114</v>
      </c>
      <c r="I102" s="115" t="s">
        <v>463</v>
      </c>
      <c r="J102" s="38" t="s">
        <v>461</v>
      </c>
      <c r="K102" s="1154"/>
    </row>
    <row r="103" spans="2:13" ht="16.5" customHeight="1">
      <c r="B103" s="1254" t="s">
        <v>1495</v>
      </c>
      <c r="C103" s="811" t="str">
        <f>B103&amp;"@"&amp;D103&amp;" corp"</f>
        <v>XS1033940740@DABC corp</v>
      </c>
      <c r="D103" s="1255" t="s">
        <v>1291</v>
      </c>
      <c r="E103" s="331" t="e">
        <f ca="1">_xll.BDP($C103,E$102)</f>
        <v>#NAME?</v>
      </c>
      <c r="F103" s="315" t="e">
        <f ca="1">_xll.BDP($C103,F$102)</f>
        <v>#NAME?</v>
      </c>
      <c r="G103" s="391" t="e">
        <f ca="1">_xll.BDP($C103,G$102)</f>
        <v>#NAME?</v>
      </c>
      <c r="H103" s="315" t="e">
        <f ca="1">_xll.BDP($C103,H$102)</f>
        <v>#NAME?</v>
      </c>
      <c r="I103" s="115" t="e">
        <f ca="1">_xll.BDP($C103,I$102)</f>
        <v>#NAME?</v>
      </c>
      <c r="J103" s="38" t="e">
        <f ca="1">_xll.BDP($C103,J$102)</f>
        <v>#NAME?</v>
      </c>
      <c r="K103" s="1154"/>
    </row>
    <row r="104" spans="2:13" ht="16.5" customHeight="1">
      <c r="B104" s="1253" t="s">
        <v>1314</v>
      </c>
      <c r="C104" s="22" t="str">
        <f>B104&amp;"@"&amp;D104&amp;" corp"</f>
        <v>EJ3991548@CBBT corp</v>
      </c>
      <c r="D104" s="1255" t="s">
        <v>537</v>
      </c>
      <c r="E104" s="1144" t="e">
        <f ca="1">_xll.BDP($C104,E$102)</f>
        <v>#NAME?</v>
      </c>
      <c r="F104" s="315" t="e">
        <f ca="1">_xll.BDP($C104,F$102)</f>
        <v>#NAME?</v>
      </c>
      <c r="G104" s="391" t="e">
        <f ca="1">_xll.BDP($C104,G$102)</f>
        <v>#NAME?</v>
      </c>
      <c r="H104" s="315" t="e">
        <f ca="1">_xll.BDP($C104,H$102)</f>
        <v>#NAME?</v>
      </c>
      <c r="I104" s="115" t="e">
        <f ca="1">_xll.BDP($C104,I$102)</f>
        <v>#NAME?</v>
      </c>
      <c r="J104" s="38" t="e">
        <f ca="1">_xll.BDP($C104,J$102)</f>
        <v>#NAME?</v>
      </c>
      <c r="K104" s="1154"/>
    </row>
    <row r="105" spans="2:13" ht="16.5" customHeight="1">
      <c r="B105" s="1253" t="s">
        <v>1316</v>
      </c>
      <c r="C105" s="22" t="str">
        <f>B105&amp;"@"&amp;D105&amp;" corp"</f>
        <v>dbr 1.75 22@NOLB corp</v>
      </c>
      <c r="D105" s="1256" t="s">
        <v>49</v>
      </c>
      <c r="E105" s="1144" t="e">
        <f ca="1">_xll.BDP($C105,E$102)</f>
        <v>#NAME?</v>
      </c>
      <c r="F105" s="315" t="e">
        <f ca="1">_xll.BDP($C105,F$102)</f>
        <v>#NAME?</v>
      </c>
      <c r="G105" s="391" t="e">
        <f ca="1">_xll.BDP($C105,G$102)</f>
        <v>#NAME?</v>
      </c>
      <c r="H105" s="315" t="e">
        <f ca="1">_xll.BDP($C105,H$102)</f>
        <v>#NAME?</v>
      </c>
      <c r="I105" s="115" t="e">
        <f ca="1">_xll.BDP($C105,I$102)</f>
        <v>#NAME?</v>
      </c>
      <c r="J105" s="38" t="e">
        <f ca="1">_xll.BDP($C105,J$102)</f>
        <v>#NAME?</v>
      </c>
      <c r="K105" s="1154"/>
    </row>
    <row r="106" spans="2:13" ht="16.5" customHeight="1">
      <c r="B106" s="32"/>
      <c r="C106" s="33"/>
      <c r="D106" s="33"/>
      <c r="E106" s="33"/>
      <c r="F106" s="35"/>
      <c r="G106" s="33"/>
      <c r="H106" s="33"/>
      <c r="I106" s="33"/>
      <c r="J106" s="51"/>
      <c r="K106" s="1154"/>
      <c r="L106" s="1154"/>
    </row>
    <row r="107" spans="2:13" ht="16.5" customHeight="1">
      <c r="B107" s="1154"/>
      <c r="C107" s="1205"/>
      <c r="D107" s="1154"/>
      <c r="E107" s="1154"/>
      <c r="F107" s="1154"/>
      <c r="G107" s="1154"/>
      <c r="H107" s="1154"/>
      <c r="I107" s="1154"/>
      <c r="J107" s="1154"/>
      <c r="K107" s="1154"/>
      <c r="L107" s="1206"/>
    </row>
    <row r="108" spans="2:13" ht="16.5" customHeight="1">
      <c r="B108" s="1154"/>
      <c r="C108" s="1207"/>
      <c r="D108" s="1154"/>
      <c r="E108" s="1154"/>
      <c r="F108" s="1154"/>
      <c r="G108" s="1154"/>
      <c r="H108" s="1154"/>
      <c r="I108" s="1154"/>
      <c r="J108" s="1154"/>
      <c r="K108" s="1208"/>
      <c r="L108" s="1154"/>
    </row>
    <row r="109" spans="2:13" ht="21">
      <c r="B109" s="1209" t="s">
        <v>1768</v>
      </c>
      <c r="C109" s="1154"/>
      <c r="D109" s="1154"/>
      <c r="F109" s="1154"/>
      <c r="G109" s="1154"/>
      <c r="H109" s="1154"/>
      <c r="I109" s="1154"/>
      <c r="J109" s="1154"/>
      <c r="L109" s="1196"/>
      <c r="M109" s="1119"/>
    </row>
    <row r="110" spans="2:13" ht="16.5" customHeight="1">
      <c r="B110" s="256"/>
      <c r="C110" s="411" t="s">
        <v>63</v>
      </c>
      <c r="D110" s="706" t="s">
        <v>961</v>
      </c>
      <c r="E110" s="207"/>
      <c r="F110" s="233"/>
      <c r="G110" s="233"/>
      <c r="H110" s="233"/>
      <c r="I110" s="233"/>
      <c r="J110" s="265"/>
      <c r="K110" s="416" t="s">
        <v>968</v>
      </c>
      <c r="L110" s="250" t="s">
        <v>89</v>
      </c>
    </row>
    <row r="111" spans="2:13" ht="16.5" customHeight="1">
      <c r="B111" s="209"/>
      <c r="C111" s="239" t="s">
        <v>900</v>
      </c>
      <c r="D111" s="812" t="s">
        <v>53</v>
      </c>
      <c r="E111" s="239" t="s">
        <v>962</v>
      </c>
      <c r="F111" s="244" t="s">
        <v>963</v>
      </c>
      <c r="G111" s="243" t="s">
        <v>964</v>
      </c>
      <c r="H111" s="244" t="s">
        <v>965</v>
      </c>
      <c r="I111" s="219" t="s">
        <v>966</v>
      </c>
      <c r="J111" s="1156" t="s">
        <v>967</v>
      </c>
      <c r="K111" s="416" t="s">
        <v>426</v>
      </c>
      <c r="L111" s="397" t="s">
        <v>90</v>
      </c>
    </row>
    <row r="112" spans="2:13" ht="16.5" customHeight="1">
      <c r="B112" s="1253" t="s">
        <v>1763</v>
      </c>
      <c r="C112" s="347" t="e">
        <f ca="1">_xll.BDP($B112,C$111)</f>
        <v>#NAME?</v>
      </c>
      <c r="D112" s="274" t="e">
        <f ca="1">_xll.BDP($B112,D$111)</f>
        <v>#NAME?</v>
      </c>
      <c r="E112" s="274" t="e">
        <f ca="1">_xll.BDP($B112,E$111)</f>
        <v>#NAME?</v>
      </c>
      <c r="F112" s="271" t="e">
        <f ca="1">_xll.BDP($B112,F$111)</f>
        <v>#NAME?</v>
      </c>
      <c r="G112" s="71" t="e">
        <f ca="1">_xll.BDP($B112,G$111)</f>
        <v>#NAME?</v>
      </c>
      <c r="H112" s="272" t="e">
        <f ca="1">_xll.BDP($B112,H$111)</f>
        <v>#NAME?</v>
      </c>
      <c r="I112" s="275" t="e">
        <f ca="1">_xll.BDP($B112,I$111)</f>
        <v>#NAME?</v>
      </c>
      <c r="J112" s="275" t="e">
        <f ca="1">_xll.BDP($B112,J$111)</f>
        <v>#NAME?</v>
      </c>
      <c r="K112" s="322" t="e">
        <f ca="1">_xll.BDP($K$110,$K$111)</f>
        <v>#NAME?</v>
      </c>
      <c r="L112" s="398" t="e">
        <f ca="1">C112*K112</f>
        <v>#NAME?</v>
      </c>
    </row>
    <row r="113" spans="2:12" ht="16.5" customHeight="1">
      <c r="B113" s="1253" t="s">
        <v>1766</v>
      </c>
      <c r="C113" s="277" t="e">
        <f ca="1">_xll.BDP($B113,C$111)</f>
        <v>#NAME?</v>
      </c>
      <c r="D113" s="274" t="e">
        <f ca="1">_xll.BDP($B113,D$111)</f>
        <v>#NAME?</v>
      </c>
      <c r="E113" s="274" t="e">
        <f ca="1">_xll.BDP($B113,E$111)</f>
        <v>#NAME?</v>
      </c>
      <c r="F113" s="271" t="e">
        <f ca="1">_xll.BDP($B113,F$111)</f>
        <v>#NAME?</v>
      </c>
      <c r="G113" s="267" t="e">
        <f ca="1">_xll.BDP($B113,G$111)</f>
        <v>#NAME?</v>
      </c>
      <c r="H113" s="273" t="e">
        <f ca="1">_xll.BDP($B113,H$111)</f>
        <v>#NAME?</v>
      </c>
      <c r="I113" s="276" t="e">
        <f ca="1">_xll.BDP($B113,I$111)</f>
        <v>#NAME?</v>
      </c>
      <c r="J113" s="275" t="e">
        <f ca="1">_xll.BDP($B113,J$111)</f>
        <v>#NAME?</v>
      </c>
      <c r="K113" s="218">
        <v>1</v>
      </c>
      <c r="L113" s="400" t="e">
        <f ca="1">C113*K113</f>
        <v>#NAME?</v>
      </c>
    </row>
    <row r="114" spans="2:12">
      <c r="B114" s="1116" t="s">
        <v>1771</v>
      </c>
      <c r="C114" s="252"/>
      <c r="D114" s="253"/>
      <c r="E114" s="253"/>
      <c r="F114" s="268"/>
      <c r="G114" s="254"/>
      <c r="H114" s="254"/>
      <c r="I114" s="210"/>
      <c r="J114" s="210"/>
      <c r="K114" s="1157" t="s">
        <v>1767</v>
      </c>
      <c r="L114" s="399" t="s">
        <v>65</v>
      </c>
    </row>
    <row r="115" spans="2:12" ht="21">
      <c r="B115" s="1209" t="s">
        <v>1769</v>
      </c>
    </row>
    <row r="116" spans="2:12" ht="16.5" customHeight="1">
      <c r="B116" s="30"/>
      <c r="C116" s="411" t="s">
        <v>64</v>
      </c>
      <c r="D116" s="6"/>
      <c r="E116" s="6"/>
      <c r="F116" s="6"/>
      <c r="G116" s="6"/>
      <c r="H116" s="6"/>
      <c r="I116" s="6"/>
      <c r="J116" s="7"/>
    </row>
    <row r="117" spans="2:12" ht="16.5" customHeight="1">
      <c r="B117" s="740"/>
      <c r="C117" s="1150" t="s">
        <v>52</v>
      </c>
      <c r="D117" s="1150" t="s">
        <v>51</v>
      </c>
      <c r="E117" s="1150" t="s">
        <v>53</v>
      </c>
      <c r="F117" s="1150" t="s">
        <v>54</v>
      </c>
      <c r="G117" s="1150" t="s">
        <v>55</v>
      </c>
      <c r="H117" s="1150" t="s">
        <v>56</v>
      </c>
      <c r="I117" s="1150" t="s">
        <v>60</v>
      </c>
      <c r="J117" s="24" t="s">
        <v>97</v>
      </c>
    </row>
    <row r="118" spans="2:12" ht="16.5" customHeight="1">
      <c r="B118" s="1253" t="s">
        <v>1765</v>
      </c>
      <c r="C118" s="329" t="e">
        <f ca="1">_xll.BDP($B118,C$117)</f>
        <v>#NAME?</v>
      </c>
      <c r="D118" s="1150" t="e">
        <f ca="1">_xll.BDP($B118,D$117)</f>
        <v>#NAME?</v>
      </c>
      <c r="E118" s="1150" t="e">
        <f ca="1">_xll.BDP($B118,E$117)</f>
        <v>#NAME?</v>
      </c>
      <c r="F118" s="99" t="e">
        <f ca="1">_xll.BDP($B118,F$117)</f>
        <v>#NAME?</v>
      </c>
      <c r="G118" s="1150" t="e">
        <f ca="1">_xll.BDP($B118,G$117)</f>
        <v>#NAME?</v>
      </c>
      <c r="H118" s="102" t="e">
        <f ca="1">_xll.BDP($B118,H$117)</f>
        <v>#NAME?</v>
      </c>
      <c r="I118" s="102" t="e">
        <f ca="1">_xll.BDP($B118,I$117)</f>
        <v>#NAME?</v>
      </c>
      <c r="J118" s="104" t="e">
        <f ca="1">_xll.BDP($B118,J$117)</f>
        <v>#NAME?</v>
      </c>
    </row>
    <row r="119" spans="2:12" ht="16.5" customHeight="1">
      <c r="B119" s="1253" t="s">
        <v>1764</v>
      </c>
      <c r="C119" s="388" t="e">
        <f ca="1">_xll.BDP($B119,C$117)</f>
        <v>#NAME?</v>
      </c>
      <c r="D119" s="1150" t="e">
        <f ca="1">_xll.BDP($B119,D$117)</f>
        <v>#NAME?</v>
      </c>
      <c r="E119" s="1150" t="e">
        <f ca="1">_xll.BDP($B119,E$117)</f>
        <v>#NAME?</v>
      </c>
      <c r="F119" s="99" t="e">
        <f ca="1">_xll.BDP($B119,F$117)</f>
        <v>#NAME?</v>
      </c>
      <c r="G119" s="1150" t="e">
        <f ca="1">_xll.BDP($B119,G$117)</f>
        <v>#NAME?</v>
      </c>
      <c r="H119" s="102" t="e">
        <f ca="1">_xll.BDP($B119,H$117)</f>
        <v>#NAME?</v>
      </c>
      <c r="I119" s="102" t="e">
        <f ca="1">_xll.BDP($B119,I$117)</f>
        <v>#NAME?</v>
      </c>
      <c r="J119" s="104" t="e">
        <f ca="1">_xll.BDP($B119,J$117)</f>
        <v>#NAME?</v>
      </c>
    </row>
    <row r="120" spans="2:12" ht="16.5" customHeight="1">
      <c r="B120" s="1116" t="s">
        <v>1772</v>
      </c>
      <c r="C120" s="9"/>
      <c r="D120" s="9"/>
      <c r="E120" s="9"/>
      <c r="F120" s="9"/>
      <c r="G120" s="9"/>
      <c r="H120" s="9"/>
      <c r="I120" s="9"/>
      <c r="J120" s="10"/>
    </row>
    <row r="121" spans="2:12" ht="16.5" customHeight="1"/>
    <row r="122" spans="2:12" ht="205.5" customHeight="1">
      <c r="B122" s="1159"/>
    </row>
    <row r="123" spans="2:12" ht="35.25" customHeight="1">
      <c r="B123" s="1158" t="s">
        <v>66</v>
      </c>
    </row>
    <row r="124" spans="2:12" ht="21">
      <c r="B124" s="393"/>
      <c r="C124" s="406" t="s">
        <v>88</v>
      </c>
      <c r="D124" s="6"/>
      <c r="E124" s="414" t="s">
        <v>125</v>
      </c>
      <c r="F124" s="6"/>
      <c r="G124" s="6"/>
      <c r="H124" s="6"/>
      <c r="I124" s="6"/>
      <c r="J124" s="7"/>
    </row>
    <row r="125" spans="2:12" s="1194" customFormat="1" ht="16.5" customHeight="1">
      <c r="B125" s="45"/>
      <c r="C125" s="1146" t="s">
        <v>564</v>
      </c>
      <c r="D125" s="1146" t="s">
        <v>124</v>
      </c>
      <c r="E125" s="72" t="s">
        <v>126</v>
      </c>
      <c r="F125" s="1146" t="s">
        <v>122</v>
      </c>
      <c r="G125" s="1146" t="s">
        <v>123</v>
      </c>
      <c r="H125" s="1146" t="s">
        <v>71</v>
      </c>
      <c r="I125" s="1146" t="s">
        <v>898</v>
      </c>
      <c r="J125" s="24" t="s">
        <v>121</v>
      </c>
    </row>
    <row r="126" spans="2:12" ht="16.5" customHeight="1">
      <c r="B126" s="1257" t="s">
        <v>67</v>
      </c>
      <c r="C126" s="396" t="e">
        <f ca="1">_xll.BDP($B126,C$125)</f>
        <v>#NAME?</v>
      </c>
      <c r="D126" s="99" t="e">
        <f ca="1">_xll.BDP($B126,D$125)</f>
        <v>#NAME?</v>
      </c>
      <c r="E126" s="418" t="e">
        <f ca="1">C126-D126</f>
        <v>#NAME?</v>
      </c>
      <c r="F126" s="99" t="e">
        <f ca="1">_xll.BDP($B126,F$125)</f>
        <v>#NAME?</v>
      </c>
      <c r="G126" s="99" t="e">
        <f ca="1">_xll.BDP($B126,G$125)</f>
        <v>#NAME?</v>
      </c>
      <c r="H126" s="99" t="e">
        <f ca="1">_xll.BDP($B126,H$125)</f>
        <v>#NAME?</v>
      </c>
      <c r="I126" s="99" t="e">
        <f ca="1">_xll.BDP($B126,I$125)</f>
        <v>#NAME?</v>
      </c>
      <c r="J126" s="394" t="e">
        <f ca="1">_xll.BDP($B126,J$125)</f>
        <v>#NAME?</v>
      </c>
    </row>
    <row r="127" spans="2:12" ht="16.5" customHeight="1">
      <c r="B127" s="1257" t="s">
        <v>68</v>
      </c>
      <c r="C127" s="99" t="e">
        <f ca="1">_xll.BDP($B127,C$125)</f>
        <v>#NAME?</v>
      </c>
      <c r="D127" s="99" t="e">
        <f ca="1">_xll.BDP($B127,D$125)</f>
        <v>#NAME?</v>
      </c>
      <c r="E127" s="417" t="e">
        <f ca="1">C127-D127</f>
        <v>#NAME?</v>
      </c>
      <c r="F127" s="99" t="e">
        <f ca="1">_xll.BDP($B127,F$125)</f>
        <v>#NAME?</v>
      </c>
      <c r="G127" s="99" t="e">
        <f ca="1">_xll.BDP($B127,G$125)</f>
        <v>#NAME?</v>
      </c>
      <c r="H127" s="99" t="e">
        <f ca="1">_xll.BDP($B127,H$125)</f>
        <v>#NAME?</v>
      </c>
      <c r="I127" s="99" t="e">
        <f ca="1">_xll.BDP($B127,I$125)</f>
        <v>#NAME?</v>
      </c>
      <c r="J127" s="394" t="e">
        <f ca="1">_xll.BDP($B127,J$125)</f>
        <v>#NAME?</v>
      </c>
    </row>
    <row r="128" spans="2:12" ht="16.5" customHeight="1">
      <c r="B128" s="1257" t="s">
        <v>70</v>
      </c>
      <c r="C128" s="99" t="e">
        <f ca="1">_xll.BDP($B128,C$125)</f>
        <v>#NAME?</v>
      </c>
      <c r="D128" s="99" t="e">
        <f ca="1">_xll.BDP($B128,D$125)</f>
        <v>#NAME?</v>
      </c>
      <c r="E128" s="417" t="e">
        <f ca="1">C128-D128</f>
        <v>#NAME?</v>
      </c>
      <c r="F128" s="99" t="e">
        <f ca="1">_xll.BDP($B128,F$125)</f>
        <v>#NAME?</v>
      </c>
      <c r="G128" s="99" t="e">
        <f ca="1">_xll.BDP($B128,G$125)</f>
        <v>#NAME?</v>
      </c>
      <c r="H128" s="99" t="e">
        <f ca="1">_xll.BDP($B128,H$125)</f>
        <v>#NAME?</v>
      </c>
      <c r="I128" s="99" t="e">
        <f ca="1">_xll.BDP($B128,I$125)</f>
        <v>#NAME?</v>
      </c>
      <c r="J128" s="394" t="e">
        <f ca="1">_xll.BDP($B128,J$125)</f>
        <v>#NAME?</v>
      </c>
    </row>
    <row r="129" spans="2:12" ht="16.5" customHeight="1">
      <c r="B129" s="1257" t="s">
        <v>69</v>
      </c>
      <c r="C129" s="99" t="e">
        <f ca="1">_xll.BDP($B129,C$125)</f>
        <v>#NAME?</v>
      </c>
      <c r="D129" s="99" t="e">
        <f ca="1">_xll.BDP($B129,D$125)</f>
        <v>#NAME?</v>
      </c>
      <c r="E129" s="417" t="e">
        <f ca="1">C129-D129</f>
        <v>#NAME?</v>
      </c>
      <c r="F129" s="99" t="e">
        <f ca="1">_xll.BDP($B129,F$125)</f>
        <v>#NAME?</v>
      </c>
      <c r="G129" s="99" t="e">
        <f ca="1">_xll.BDP($B129,G$125)</f>
        <v>#NAME?</v>
      </c>
      <c r="H129" s="99" t="e">
        <f ca="1">_xll.BDP($B129,H$125)</f>
        <v>#NAME?</v>
      </c>
      <c r="I129" s="99" t="e">
        <f ca="1">_xll.BDP($B129,I$125)</f>
        <v>#NAME?</v>
      </c>
      <c r="J129" s="394" t="e">
        <f ca="1">_xll.BDP($B129,J$125)</f>
        <v>#NAME?</v>
      </c>
    </row>
    <row r="130" spans="2:12" ht="16.5" customHeight="1">
      <c r="B130" s="11"/>
      <c r="C130" s="1145"/>
      <c r="D130" s="1145"/>
      <c r="E130" s="1145"/>
      <c r="F130" s="1145"/>
      <c r="G130" s="1145"/>
      <c r="H130" s="1145"/>
      <c r="I130" s="1145"/>
      <c r="J130" s="395"/>
      <c r="L130" s="1159"/>
    </row>
    <row r="131" spans="2:12" s="1194" customFormat="1" ht="16.5" customHeight="1"/>
    <row r="132" spans="2:12" s="1194" customFormat="1" ht="16.5" customHeight="1">
      <c r="B132" s="401"/>
      <c r="C132" s="76"/>
      <c r="D132" s="406" t="s">
        <v>92</v>
      </c>
      <c r="E132" s="23"/>
      <c r="F132" s="1203"/>
      <c r="G132" s="401"/>
      <c r="H132" s="76"/>
      <c r="I132" s="406" t="s">
        <v>93</v>
      </c>
      <c r="J132" s="23"/>
    </row>
    <row r="133" spans="2:12" ht="16.5" customHeight="1">
      <c r="B133" s="402" t="s">
        <v>91</v>
      </c>
      <c r="C133" s="1146"/>
      <c r="D133" s="1146" t="s">
        <v>426</v>
      </c>
      <c r="E133" s="403" t="s">
        <v>80</v>
      </c>
      <c r="F133" s="1203"/>
      <c r="G133" s="402" t="s">
        <v>87</v>
      </c>
      <c r="H133" s="1146"/>
      <c r="I133" s="1146" t="s">
        <v>426</v>
      </c>
      <c r="J133" s="403" t="s">
        <v>80</v>
      </c>
    </row>
    <row r="134" spans="2:12" ht="16.5" customHeight="1">
      <c r="B134" s="2401" t="s">
        <v>72</v>
      </c>
      <c r="C134" s="2401"/>
      <c r="D134" s="370" t="e">
        <f ca="1">_xll.BDP($B134,D$133)</f>
        <v>#NAME?</v>
      </c>
      <c r="E134" s="408" t="e">
        <f ca="1">_xll.BDP($B134,E$133)</f>
        <v>#NAME?</v>
      </c>
      <c r="F134" s="1203"/>
      <c r="G134" s="2400" t="s">
        <v>73</v>
      </c>
      <c r="H134" s="2401"/>
      <c r="I134" s="370" t="e">
        <f ca="1">_xll.BDP($G134,I$133)</f>
        <v>#NAME?</v>
      </c>
      <c r="J134" s="24" t="e">
        <f ca="1">_xll.BDP($G134,J$133)</f>
        <v>#NAME?</v>
      </c>
    </row>
    <row r="135" spans="2:12" ht="16.5" customHeight="1">
      <c r="B135" s="2401" t="s">
        <v>74</v>
      </c>
      <c r="C135" s="2401"/>
      <c r="D135" s="404" t="e">
        <f ca="1">_xll.BDP($B135,D$133)</f>
        <v>#NAME?</v>
      </c>
      <c r="E135" s="408" t="e">
        <f ca="1">_xll.BDP($B135,E$133)</f>
        <v>#NAME?</v>
      </c>
      <c r="F135" s="1203"/>
      <c r="G135" s="2400" t="s">
        <v>81</v>
      </c>
      <c r="H135" s="2401"/>
      <c r="I135" s="404" t="e">
        <f ca="1">_xll.BDP($G135,I$133)</f>
        <v>#NAME?</v>
      </c>
      <c r="J135" s="24" t="e">
        <f ca="1">_xll.BDP($G135,J$133)</f>
        <v>#NAME?</v>
      </c>
    </row>
    <row r="136" spans="2:12" ht="16.5" customHeight="1">
      <c r="B136" s="2401" t="s">
        <v>75</v>
      </c>
      <c r="C136" s="2401"/>
      <c r="D136" s="404" t="e">
        <f ca="1">_xll.BDP($B136,D$133)</f>
        <v>#NAME?</v>
      </c>
      <c r="E136" s="408" t="e">
        <f ca="1">_xll.BDP($B136,E$133)</f>
        <v>#NAME?</v>
      </c>
      <c r="F136" s="1203"/>
      <c r="G136" s="2400" t="s">
        <v>82</v>
      </c>
      <c r="H136" s="2401"/>
      <c r="I136" s="404" t="e">
        <f ca="1">_xll.BDP($G136,I$133)</f>
        <v>#NAME?</v>
      </c>
      <c r="J136" s="24" t="e">
        <f ca="1">_xll.BDP($G136,J$133)</f>
        <v>#NAME?</v>
      </c>
    </row>
    <row r="137" spans="2:12" ht="16.5" customHeight="1">
      <c r="B137" s="2401" t="s">
        <v>76</v>
      </c>
      <c r="C137" s="2401"/>
      <c r="D137" s="404" t="e">
        <f ca="1">_xll.BDP($B137,D$133)</f>
        <v>#NAME?</v>
      </c>
      <c r="E137" s="408" t="e">
        <f ca="1">_xll.BDP($B137,E$133)</f>
        <v>#NAME?</v>
      </c>
      <c r="F137" s="1203"/>
      <c r="G137" s="2400" t="s">
        <v>83</v>
      </c>
      <c r="H137" s="2401"/>
      <c r="I137" s="404" t="e">
        <f ca="1">_xll.BDP($G137,I$133)</f>
        <v>#NAME?</v>
      </c>
      <c r="J137" s="24" t="e">
        <f ca="1">_xll.BDP($G137,J$133)</f>
        <v>#NAME?</v>
      </c>
    </row>
    <row r="138" spans="2:12" ht="16.5" customHeight="1">
      <c r="B138" s="2401" t="s">
        <v>77</v>
      </c>
      <c r="C138" s="2401"/>
      <c r="D138" s="404" t="e">
        <f ca="1">_xll.BDP($B138,D$133)</f>
        <v>#NAME?</v>
      </c>
      <c r="E138" s="408" t="e">
        <f ca="1">_xll.BDP($B138,E$133)</f>
        <v>#NAME?</v>
      </c>
      <c r="F138" s="1203"/>
      <c r="G138" s="2400" t="s">
        <v>84</v>
      </c>
      <c r="H138" s="2401"/>
      <c r="I138" s="404" t="e">
        <f ca="1">_xll.BDP($G138,I$133)</f>
        <v>#NAME?</v>
      </c>
      <c r="J138" s="24" t="e">
        <f ca="1">_xll.BDP($G138,J$133)</f>
        <v>#NAME?</v>
      </c>
    </row>
    <row r="139" spans="2:12" ht="16.5" customHeight="1">
      <c r="B139" s="2401" t="s">
        <v>78</v>
      </c>
      <c r="C139" s="2401"/>
      <c r="D139" s="404" t="e">
        <f ca="1">_xll.BDP($B139,D$133)</f>
        <v>#NAME?</v>
      </c>
      <c r="E139" s="408" t="e">
        <f ca="1">_xll.BDP($B139,E$133)</f>
        <v>#NAME?</v>
      </c>
      <c r="F139" s="1203"/>
      <c r="G139" s="2400" t="s">
        <v>85</v>
      </c>
      <c r="H139" s="2401"/>
      <c r="I139" s="404" t="e">
        <f ca="1">_xll.BDP($G139,I$133)</f>
        <v>#NAME?</v>
      </c>
      <c r="J139" s="24" t="e">
        <f ca="1">_xll.BDP($G139,J$133)</f>
        <v>#NAME?</v>
      </c>
    </row>
    <row r="140" spans="2:12" ht="16.5" customHeight="1">
      <c r="B140" s="2401" t="s">
        <v>79</v>
      </c>
      <c r="C140" s="2401"/>
      <c r="D140" s="404" t="e">
        <f ca="1">_xll.BDP($B140,D$133)</f>
        <v>#NAME?</v>
      </c>
      <c r="E140" s="408" t="e">
        <f ca="1">_xll.BDP($B140,E$133)</f>
        <v>#NAME?</v>
      </c>
      <c r="F140" s="1195"/>
      <c r="G140" s="2400" t="s">
        <v>86</v>
      </c>
      <c r="H140" s="2401"/>
      <c r="I140" s="404" t="e">
        <f ca="1">_xll.BDP($G140,I$133)</f>
        <v>#NAME?</v>
      </c>
      <c r="J140" s="24" t="e">
        <f ca="1">_xll.BDP($G140,J$133)</f>
        <v>#NAME?</v>
      </c>
    </row>
    <row r="141" spans="2:12" ht="16.5" customHeight="1">
      <c r="B141" s="11"/>
      <c r="C141" s="1145"/>
      <c r="D141" s="405"/>
      <c r="E141" s="409"/>
      <c r="F141" s="1119"/>
      <c r="G141" s="1088"/>
      <c r="H141" s="9"/>
      <c r="I141" s="1145"/>
      <c r="J141" s="395"/>
    </row>
    <row r="142" spans="2:12" ht="16.5" customHeight="1"/>
    <row r="143" spans="2:12" ht="16.5" customHeight="1">
      <c r="B143" s="30"/>
      <c r="C143" s="6"/>
      <c r="D143" s="406" t="s">
        <v>112</v>
      </c>
      <c r="E143" s="7"/>
      <c r="F143" s="1119"/>
      <c r="G143" s="412"/>
      <c r="H143" s="6"/>
      <c r="I143" s="406" t="s">
        <v>119</v>
      </c>
      <c r="J143" s="7"/>
    </row>
    <row r="144" spans="2:12" ht="15" customHeight="1">
      <c r="B144" s="402" t="s">
        <v>118</v>
      </c>
      <c r="C144" s="751"/>
      <c r="D144" s="1146" t="s">
        <v>426</v>
      </c>
      <c r="E144" s="8"/>
      <c r="F144" s="1119"/>
      <c r="G144" s="402" t="s">
        <v>100</v>
      </c>
      <c r="H144" s="751"/>
      <c r="I144" s="1146" t="s">
        <v>426</v>
      </c>
      <c r="J144" s="8"/>
    </row>
    <row r="145" spans="1:12" ht="16.5" customHeight="1">
      <c r="B145" s="1257" t="s">
        <v>110</v>
      </c>
      <c r="C145" s="751"/>
      <c r="D145" s="396" t="e">
        <f ca="1">_xll.BDP($B145,D$144)</f>
        <v>#NAME?</v>
      </c>
      <c r="E145" s="8"/>
      <c r="F145" s="1119"/>
      <c r="G145" s="2401" t="s">
        <v>98</v>
      </c>
      <c r="H145" s="2401"/>
      <c r="I145" s="396" t="e">
        <f ca="1">_xll.BDP($G145,I$144)</f>
        <v>#NAME?</v>
      </c>
      <c r="J145" s="8"/>
    </row>
    <row r="146" spans="1:12" ht="16.5" customHeight="1">
      <c r="B146" s="1257" t="s">
        <v>111</v>
      </c>
      <c r="C146" s="751"/>
      <c r="D146" s="99" t="e">
        <f ca="1">_xll.BDP($B146,D$144)</f>
        <v>#NAME?</v>
      </c>
      <c r="E146" s="8"/>
      <c r="F146" s="1119"/>
      <c r="G146" s="2401" t="s">
        <v>99</v>
      </c>
      <c r="H146" s="2401"/>
      <c r="I146" s="99" t="e">
        <f ca="1">_xll.BDP($G146,I$144)</f>
        <v>#NAME?</v>
      </c>
      <c r="J146" s="8"/>
    </row>
    <row r="147" spans="1:12" ht="16.5" customHeight="1">
      <c r="B147" s="11"/>
      <c r="C147" s="9"/>
      <c r="D147" s="9"/>
      <c r="E147" s="10"/>
      <c r="F147" s="1119"/>
      <c r="G147" s="11"/>
      <c r="H147" s="9"/>
      <c r="I147" s="9"/>
      <c r="J147" s="10"/>
    </row>
    <row r="148" spans="1:12" ht="16.5" customHeight="1">
      <c r="F148" s="1119"/>
      <c r="G148" s="1119"/>
      <c r="H148" s="1119"/>
      <c r="I148" s="1119"/>
      <c r="J148" s="1119"/>
    </row>
    <row r="149" spans="1:12" ht="16.5" customHeight="1">
      <c r="B149" s="30"/>
      <c r="C149" s="406" t="s">
        <v>120</v>
      </c>
      <c r="D149" s="6"/>
      <c r="E149" s="6"/>
      <c r="F149" s="6"/>
      <c r="G149" s="6"/>
      <c r="H149" s="6"/>
      <c r="I149" s="6"/>
      <c r="J149" s="6"/>
      <c r="K149" s="7"/>
    </row>
    <row r="150" spans="1:12">
      <c r="B150" s="45"/>
      <c r="C150" s="1146" t="s">
        <v>102</v>
      </c>
      <c r="D150" s="1146" t="s">
        <v>109</v>
      </c>
      <c r="E150" s="1146" t="s">
        <v>105</v>
      </c>
      <c r="F150" s="1146" t="s">
        <v>106</v>
      </c>
      <c r="G150" s="1146" t="s">
        <v>108</v>
      </c>
      <c r="H150" s="1146" t="s">
        <v>101</v>
      </c>
      <c r="I150" s="1146" t="s">
        <v>104</v>
      </c>
      <c r="J150" s="1146" t="s">
        <v>107</v>
      </c>
      <c r="K150" s="24" t="s">
        <v>103</v>
      </c>
    </row>
    <row r="151" spans="1:12" ht="16.5" customHeight="1">
      <c r="B151" s="1258" t="s">
        <v>1775</v>
      </c>
      <c r="C151" s="413" t="e">
        <f ca="1">_xll.BDP($B151,C$150)</f>
        <v>#NAME?</v>
      </c>
      <c r="D151" s="102" t="e">
        <f ca="1">_xll.BDP($B151,D$150)</f>
        <v>#NAME?</v>
      </c>
      <c r="E151" s="1146" t="e">
        <f ca="1">_xll.BDP($B151,E$150)</f>
        <v>#NAME?</v>
      </c>
      <c r="F151" s="1146" t="e">
        <f ca="1">_xll.BDP($B151,F$150)</f>
        <v>#NAME?</v>
      </c>
      <c r="G151" s="1146" t="e">
        <f ca="1">_xll.BDP($B151,G$150)</f>
        <v>#NAME?</v>
      </c>
      <c r="H151" s="404" t="e">
        <f ca="1">_xll.BDP($B151,H$150)</f>
        <v>#NAME?</v>
      </c>
      <c r="I151" s="83" t="e">
        <f ca="1">_xll.BDP($B151,I$150)</f>
        <v>#NAME?</v>
      </c>
      <c r="J151" s="424" t="e">
        <f ca="1">_xll.BDP($B151,J$150)</f>
        <v>#NAME?</v>
      </c>
      <c r="K151" s="425" t="e">
        <f ca="1">_xll.BDP($B151,K$150)</f>
        <v>#NAME?</v>
      </c>
    </row>
    <row r="152" spans="1:12" ht="16.5" customHeight="1">
      <c r="B152" s="1258" t="s">
        <v>1496</v>
      </c>
      <c r="C152" s="102" t="e">
        <f ca="1">_xll.BDP($B152,C$150)</f>
        <v>#NAME?</v>
      </c>
      <c r="D152" s="102" t="e">
        <f ca="1">_xll.BDP($B152,D$150)</f>
        <v>#NAME?</v>
      </c>
      <c r="E152" s="1146" t="e">
        <f ca="1">_xll.BDP($B152,E$150)</f>
        <v>#NAME?</v>
      </c>
      <c r="F152" s="1146" t="e">
        <f ca="1">_xll.BDP($B152,F$150)</f>
        <v>#NAME?</v>
      </c>
      <c r="G152" s="1146" t="e">
        <f ca="1">_xll.BDP($B152,G$150)</f>
        <v>#NAME?</v>
      </c>
      <c r="H152" s="404" t="e">
        <f ca="1">_xll.BDP($B152,H$150)</f>
        <v>#NAME?</v>
      </c>
      <c r="I152" s="83" t="e">
        <f ca="1">_xll.BDP($B152,I$150)</f>
        <v>#NAME?</v>
      </c>
      <c r="J152" s="424" t="e">
        <f ca="1">_xll.BDP($B152,J$150)</f>
        <v>#NAME?</v>
      </c>
      <c r="K152" s="425" t="e">
        <f ca="1">_xll.BDP($B152,K$150)</f>
        <v>#NAME?</v>
      </c>
    </row>
    <row r="153" spans="1:12" ht="16.5" customHeight="1">
      <c r="B153" s="1116" t="s">
        <v>1501</v>
      </c>
      <c r="C153" s="9"/>
      <c r="D153" s="9"/>
      <c r="E153" s="9"/>
      <c r="F153" s="9"/>
      <c r="G153" s="9"/>
      <c r="H153" s="9"/>
      <c r="I153" s="9"/>
      <c r="J153" s="9"/>
      <c r="K153" s="10"/>
    </row>
    <row r="154" spans="1:12" ht="16.5" customHeight="1"/>
    <row r="155" spans="1:12" ht="82.5" customHeight="1">
      <c r="A155" s="1215" t="s">
        <v>1500</v>
      </c>
      <c r="B155" s="1159"/>
    </row>
    <row r="156" spans="1:12" ht="14.25" customHeight="1">
      <c r="C156" s="1216"/>
    </row>
    <row r="157" spans="1:12" ht="16.5" customHeight="1">
      <c r="B157" s="1158" t="s">
        <v>96</v>
      </c>
    </row>
    <row r="158" spans="1:12" ht="16.5" customHeight="1">
      <c r="B158" s="30"/>
      <c r="C158" s="427" t="s">
        <v>161</v>
      </c>
      <c r="D158" s="6"/>
      <c r="E158" s="6"/>
      <c r="F158" s="6"/>
      <c r="G158" s="6"/>
      <c r="H158" s="6"/>
      <c r="I158" s="6"/>
      <c r="J158" s="6"/>
      <c r="K158" s="6"/>
      <c r="L158" s="7"/>
    </row>
    <row r="159" spans="1:12" s="1194" customFormat="1" ht="16.5" customHeight="1">
      <c r="B159" s="45"/>
      <c r="C159" s="426" t="s">
        <v>890</v>
      </c>
      <c r="D159" s="426" t="s">
        <v>426</v>
      </c>
      <c r="E159" s="1146" t="s">
        <v>911</v>
      </c>
      <c r="F159" s="1146" t="s">
        <v>154</v>
      </c>
      <c r="G159" s="1146" t="s">
        <v>155</v>
      </c>
      <c r="H159" s="1146" t="s">
        <v>156</v>
      </c>
      <c r="I159" s="1146" t="s">
        <v>157</v>
      </c>
      <c r="J159" s="1146" t="s">
        <v>158</v>
      </c>
      <c r="K159" s="1146" t="s">
        <v>159</v>
      </c>
      <c r="L159" s="24" t="s">
        <v>160</v>
      </c>
    </row>
    <row r="160" spans="1:12" ht="16.5" customHeight="1">
      <c r="B160" s="1257" t="s">
        <v>794</v>
      </c>
      <c r="C160" s="330" t="e">
        <f ca="1">_xll.BDP($B160,C$159)</f>
        <v>#NAME?</v>
      </c>
      <c r="D160" s="83" t="e">
        <f ca="1">_xll.BDP($B160,D$159)</f>
        <v>#NAME?</v>
      </c>
      <c r="E160" s="404" t="e">
        <f ca="1">_xll.BDP($B160,E$159)</f>
        <v>#NAME?</v>
      </c>
      <c r="F160" s="102" t="e">
        <f ca="1">_xll.BDP($B160,F$159)</f>
        <v>#NAME?</v>
      </c>
      <c r="G160" s="404" t="e">
        <f ca="1">_xll.BDP($B160,G$159)</f>
        <v>#NAME?</v>
      </c>
      <c r="H160" s="404" t="e">
        <f ca="1">_xll.BDP($B160,H$159)</f>
        <v>#NAME?</v>
      </c>
      <c r="I160" s="1146" t="e">
        <f ca="1">_xll.BDP($B160,I$159)</f>
        <v>#NAME?</v>
      </c>
      <c r="J160" s="1146" t="e">
        <f ca="1">_xll.BDP($B160,J$159)</f>
        <v>#NAME?</v>
      </c>
      <c r="K160" s="83" t="e">
        <f ca="1">_xll.BDP($B160,K$159)</f>
        <v>#NAME?</v>
      </c>
      <c r="L160" s="283" t="e">
        <f ca="1">_xll.BDP($B160,L$159)</f>
        <v>#NAME?</v>
      </c>
    </row>
    <row r="161" spans="2:13" ht="16.5" customHeight="1">
      <c r="B161" s="1257" t="s">
        <v>805</v>
      </c>
      <c r="C161" s="751" t="e">
        <f ca="1">_xll.BDP($B161,C$159)</f>
        <v>#NAME?</v>
      </c>
      <c r="D161" s="83" t="e">
        <f ca="1">_xll.BDP($B161,D$159)</f>
        <v>#NAME?</v>
      </c>
      <c r="E161" s="404" t="e">
        <f ca="1">_xll.BDP($B161,E$159)</f>
        <v>#NAME?</v>
      </c>
      <c r="F161" s="102" t="e">
        <f ca="1">_xll.BDP($B161,F$159)</f>
        <v>#NAME?</v>
      </c>
      <c r="G161" s="404" t="e">
        <f ca="1">_xll.BDP($B161,G$159)</f>
        <v>#NAME?</v>
      </c>
      <c r="H161" s="404" t="e">
        <f ca="1">_xll.BDP($B161,H$159)</f>
        <v>#NAME?</v>
      </c>
      <c r="I161" s="1146" t="e">
        <f ca="1">_xll.BDP($B161,I$159)</f>
        <v>#NAME?</v>
      </c>
      <c r="J161" s="1146" t="e">
        <f ca="1">_xll.BDP($B161,J$159)</f>
        <v>#NAME?</v>
      </c>
      <c r="K161" s="83" t="e">
        <f ca="1">_xll.BDP($B161,K$159)</f>
        <v>#NAME?</v>
      </c>
      <c r="L161" s="283" t="e">
        <f ca="1">_xll.BDP($B161,L$159)</f>
        <v>#NAME?</v>
      </c>
    </row>
    <row r="162" spans="2:13" ht="16.5" customHeight="1">
      <c r="B162" s="11"/>
      <c r="C162" s="9"/>
      <c r="D162" s="9"/>
      <c r="E162" s="9"/>
      <c r="F162" s="9"/>
      <c r="G162" s="9"/>
      <c r="H162" s="9"/>
      <c r="I162" s="9"/>
      <c r="J162" s="9"/>
      <c r="K162" s="9"/>
      <c r="L162" s="10"/>
    </row>
    <row r="163" spans="2:13" ht="16.5" customHeight="1"/>
    <row r="164" spans="2:13" ht="16.5" customHeight="1">
      <c r="B164" s="30"/>
      <c r="C164" s="427" t="s">
        <v>162</v>
      </c>
      <c r="D164" s="6"/>
      <c r="E164" s="6"/>
      <c r="F164" s="6"/>
      <c r="G164" s="6"/>
      <c r="H164" s="6"/>
      <c r="I164" s="6"/>
      <c r="J164" s="6"/>
      <c r="K164" s="6"/>
      <c r="L164" s="7"/>
    </row>
    <row r="165" spans="2:13" ht="16.5" customHeight="1">
      <c r="B165" s="45"/>
      <c r="C165" s="426" t="s">
        <v>890</v>
      </c>
      <c r="D165" s="426" t="s">
        <v>156</v>
      </c>
      <c r="E165" s="1147" t="s">
        <v>910</v>
      </c>
      <c r="F165" s="1146" t="s">
        <v>167</v>
      </c>
      <c r="G165" s="1146" t="s">
        <v>163</v>
      </c>
      <c r="H165" s="1146" t="s">
        <v>424</v>
      </c>
      <c r="I165" s="1146" t="s">
        <v>245</v>
      </c>
      <c r="J165" s="1146" t="s">
        <v>164</v>
      </c>
      <c r="K165" s="1146" t="s">
        <v>165</v>
      </c>
      <c r="L165" s="24" t="s">
        <v>166</v>
      </c>
    </row>
    <row r="166" spans="2:13" ht="16.5" customHeight="1">
      <c r="B166" s="1257" t="s">
        <v>423</v>
      </c>
      <c r="C166" s="330" t="e">
        <f ca="1">_xll.BDP($B166,C$165)</f>
        <v>#NAME?</v>
      </c>
      <c r="D166" s="391" t="e">
        <f ca="1">_xll.BDP($B166,D$165)</f>
        <v>#NAME?</v>
      </c>
      <c r="E166" s="428" t="e">
        <f ca="1">_xll.BDP($B166,E$165)</f>
        <v>#NAME?</v>
      </c>
      <c r="F166" s="428" t="e">
        <f ca="1">_xll.BDP($B166,F$165)</f>
        <v>#NAME?</v>
      </c>
      <c r="G166" s="428" t="e">
        <f ca="1">_xll.BDP($B166,G$165)</f>
        <v>#NAME?</v>
      </c>
      <c r="H166" s="115" t="e">
        <f ca="1">_xll.BDP($B166,H$165)</f>
        <v>#NAME?</v>
      </c>
      <c r="I166" s="391" t="e">
        <f ca="1">_xll.BDP($B166,I$165)</f>
        <v>#NAME?</v>
      </c>
      <c r="J166" s="315" t="e">
        <f ca="1">_xll.BDP($B166,J$165)</f>
        <v>#NAME?</v>
      </c>
      <c r="K166" s="391" t="e">
        <f ca="1">_xll.BDP($B166,K$165)</f>
        <v>#NAME?</v>
      </c>
      <c r="L166" s="315" t="e">
        <f ca="1">_xll.BDP($B166,L$165)</f>
        <v>#NAME?</v>
      </c>
      <c r="M166" s="1202"/>
    </row>
    <row r="167" spans="2:13" ht="16.5" customHeight="1">
      <c r="B167" s="1257" t="s">
        <v>168</v>
      </c>
      <c r="C167" s="25" t="e">
        <f ca="1">_xll.BDP($B167,C$165)</f>
        <v>#NAME?</v>
      </c>
      <c r="D167" s="391" t="e">
        <f ca="1">_xll.BDP($B167,D$165)</f>
        <v>#NAME?</v>
      </c>
      <c r="E167" s="428" t="e">
        <f ca="1">_xll.BDP($B167,E$165)</f>
        <v>#NAME?</v>
      </c>
      <c r="F167" s="428" t="e">
        <f ca="1">_xll.BDP($B167,F$165)</f>
        <v>#NAME?</v>
      </c>
      <c r="G167" s="428" t="e">
        <f ca="1">_xll.BDP($B167,G$165)</f>
        <v>#NAME?</v>
      </c>
      <c r="H167" s="115" t="e">
        <f ca="1">_xll.BDP($B167,H$165)</f>
        <v>#NAME?</v>
      </c>
      <c r="I167" s="391" t="e">
        <f ca="1">_xll.BDP($B167,I$165)</f>
        <v>#NAME?</v>
      </c>
      <c r="J167" s="315" t="e">
        <f ca="1">_xll.BDP($B167,J$165)</f>
        <v>#NAME?</v>
      </c>
      <c r="K167" s="391" t="e">
        <f ca="1">_xll.BDP($B167,K$165)</f>
        <v>#NAME?</v>
      </c>
      <c r="L167" s="315" t="e">
        <f ca="1">_xll.BDP($B167,L$165)</f>
        <v>#NAME?</v>
      </c>
      <c r="M167" s="1202"/>
    </row>
    <row r="168" spans="2:13" ht="16.5" customHeight="1">
      <c r="B168" s="11"/>
      <c r="C168" s="9"/>
      <c r="D168" s="9"/>
      <c r="E168" s="9"/>
      <c r="F168" s="9"/>
      <c r="G168" s="9"/>
      <c r="H168" s="9"/>
      <c r="I168" s="9"/>
      <c r="J168" s="9"/>
      <c r="K168" s="9"/>
      <c r="L168" s="10"/>
    </row>
    <row r="169" spans="2:13" ht="16.5" customHeight="1"/>
    <row r="170" spans="2:13" ht="16.5" customHeight="1">
      <c r="B170" s="112"/>
      <c r="C170" s="704" t="s">
        <v>169</v>
      </c>
      <c r="D170" s="113"/>
      <c r="E170" s="113"/>
      <c r="F170" s="113"/>
      <c r="G170" s="113"/>
      <c r="H170" s="113"/>
      <c r="I170" s="113"/>
      <c r="J170" s="1197"/>
    </row>
    <row r="171" spans="2:13" ht="16.5" customHeight="1">
      <c r="B171" s="420"/>
      <c r="C171" s="421" t="s">
        <v>128</v>
      </c>
      <c r="D171" s="421" t="s">
        <v>132</v>
      </c>
      <c r="E171" s="421" t="s">
        <v>130</v>
      </c>
      <c r="F171" s="423" t="s">
        <v>134</v>
      </c>
      <c r="G171" s="421" t="s">
        <v>133</v>
      </c>
      <c r="H171" s="423" t="s">
        <v>135</v>
      </c>
      <c r="I171" s="421" t="s">
        <v>129</v>
      </c>
      <c r="J171" s="1217"/>
    </row>
    <row r="172" spans="2:13" ht="16.5" customHeight="1">
      <c r="B172" s="1259" t="s">
        <v>1776</v>
      </c>
      <c r="C172" s="320" t="e">
        <f ca="1">_xll.BDP($B172,C$171)</f>
        <v>#NAME?</v>
      </c>
      <c r="D172" s="315" t="e">
        <f ca="1">_xll.BDP($B172,D$171)</f>
        <v>#NAME?</v>
      </c>
      <c r="E172" s="315" t="e">
        <f ca="1">_xll.BDP($B172,E$171)</f>
        <v>#NAME?</v>
      </c>
      <c r="F172" s="419" t="e">
        <f ca="1">_xll.BDP($B172,F$171)</f>
        <v>#NAME?</v>
      </c>
      <c r="G172" s="391" t="e">
        <f ca="1">_xll.BDP($B172,G$171)</f>
        <v>#NAME?</v>
      </c>
      <c r="H172" s="391" t="e">
        <f ca="1">_xll.BDP($B172,H$171)</f>
        <v>#NAME?</v>
      </c>
      <c r="I172" s="115" t="e">
        <f ca="1">_xll.BDP($B172,I$171)</f>
        <v>#NAME?</v>
      </c>
      <c r="J172" s="1218"/>
    </row>
    <row r="173" spans="2:13" ht="16.5" customHeight="1">
      <c r="B173" s="815" t="s">
        <v>1292</v>
      </c>
      <c r="C173" s="35"/>
      <c r="D173" s="35"/>
      <c r="E173" s="35"/>
      <c r="F173" s="35"/>
      <c r="G173" s="35"/>
      <c r="H173" s="35"/>
      <c r="I173" s="35"/>
      <c r="J173" s="1197"/>
    </row>
    <row r="174" spans="2:13" ht="105.75" customHeight="1"/>
    <row r="175" spans="2:13" ht="16.5" customHeight="1">
      <c r="B175" s="112"/>
      <c r="C175" s="346" t="s">
        <v>172</v>
      </c>
      <c r="D175" s="113"/>
      <c r="E175" s="113"/>
      <c r="F175" s="113"/>
      <c r="G175" s="113"/>
      <c r="H175" s="113"/>
      <c r="I175" s="114"/>
    </row>
    <row r="176" spans="2:13" ht="16.5" customHeight="1">
      <c r="B176" s="420"/>
      <c r="C176" s="421" t="s">
        <v>890</v>
      </c>
      <c r="D176" s="421" t="s">
        <v>783</v>
      </c>
      <c r="E176" s="421" t="s">
        <v>176</v>
      </c>
      <c r="F176" s="421" t="s">
        <v>170</v>
      </c>
      <c r="G176" s="423" t="s">
        <v>174</v>
      </c>
      <c r="H176" s="421" t="s">
        <v>175</v>
      </c>
      <c r="I176" s="429" t="s">
        <v>173</v>
      </c>
    </row>
    <row r="177" spans="2:12" ht="16.5" customHeight="1">
      <c r="B177" s="1260" t="s">
        <v>171</v>
      </c>
      <c r="C177" s="320" t="e">
        <f ca="1">_xll.BDP($B177,C$176)</f>
        <v>#NAME?</v>
      </c>
      <c r="D177" s="204" t="e">
        <f ca="1">_xll.BDP($B177,D$176)</f>
        <v>#NAME?</v>
      </c>
      <c r="E177" s="430" t="e">
        <f ca="1">_xll.BDP($B177,E$176)</f>
        <v>#NAME?</v>
      </c>
      <c r="F177" s="430" t="e">
        <f ca="1">_xll.BDP($B177,F$176)</f>
        <v>#NAME?</v>
      </c>
      <c r="G177" s="37" t="e">
        <f ca="1">_xll.BDP($B177,G$176)</f>
        <v>#NAME?</v>
      </c>
      <c r="H177" s="37" t="e">
        <f ca="1">_xll.BDP($B177,H$176)</f>
        <v>#NAME?</v>
      </c>
      <c r="I177" s="59" t="e">
        <f ca="1">_xll.BDP($B177,I$176)</f>
        <v>#NAME?</v>
      </c>
    </row>
    <row r="178" spans="2:12" ht="16.5" customHeight="1">
      <c r="B178" s="1260" t="s">
        <v>177</v>
      </c>
      <c r="C178" s="37" t="e">
        <f ca="1">_xll.BDP($B178,C$176)</f>
        <v>#NAME?</v>
      </c>
      <c r="D178" s="204" t="e">
        <f ca="1">_xll.BDP($B178,D$176)</f>
        <v>#NAME?</v>
      </c>
      <c r="E178" s="430" t="e">
        <f ca="1">_xll.BDP($B178,E$176)</f>
        <v>#NAME?</v>
      </c>
      <c r="F178" s="430" t="e">
        <f ca="1">_xll.BDP($B178,F$176)</f>
        <v>#NAME?</v>
      </c>
      <c r="G178" s="37" t="e">
        <f ca="1">_xll.BDP($B178,G$176)</f>
        <v>#NAME?</v>
      </c>
      <c r="H178" s="37" t="e">
        <f ca="1">_xll.BDP($B178,H$176)</f>
        <v>#NAME?</v>
      </c>
      <c r="I178" s="59" t="e">
        <f ca="1">_xll.BDP($B178,I$176)</f>
        <v>#NAME?</v>
      </c>
    </row>
    <row r="179" spans="2:12" ht="16.5" customHeight="1">
      <c r="B179" s="364"/>
      <c r="C179" s="35"/>
      <c r="D179" s="35"/>
      <c r="E179" s="35"/>
      <c r="F179" s="35"/>
      <c r="G179" s="35"/>
      <c r="H179" s="35"/>
      <c r="I179" s="44"/>
    </row>
    <row r="180" spans="2:12" ht="16.5" customHeight="1"/>
    <row r="181" spans="2:12" ht="16.5" customHeight="1"/>
    <row r="182" spans="2:12" ht="16.5" customHeight="1">
      <c r="B182" s="1186" t="s">
        <v>1777</v>
      </c>
    </row>
    <row r="183" spans="2:12" ht="16.5" customHeight="1">
      <c r="B183" s="1211" t="s">
        <v>1338</v>
      </c>
      <c r="C183" s="1200"/>
      <c r="D183" s="1200"/>
      <c r="E183" s="1200"/>
      <c r="F183" s="1200"/>
      <c r="G183" s="1200"/>
      <c r="H183" s="1200"/>
      <c r="I183" s="1200"/>
      <c r="J183" s="1201"/>
    </row>
    <row r="184" spans="2:12" ht="16.5" customHeight="1">
      <c r="B184" s="1219"/>
      <c r="C184" s="1119"/>
      <c r="D184" s="1220"/>
      <c r="E184" s="1119"/>
      <c r="G184" s="1119"/>
      <c r="H184" s="1119"/>
      <c r="I184" s="1119"/>
      <c r="J184" s="1195"/>
      <c r="L184" s="1266"/>
    </row>
    <row r="185" spans="2:12" ht="16.5" customHeight="1">
      <c r="B185" s="1202"/>
      <c r="C185" s="1119"/>
      <c r="D185" s="1119"/>
      <c r="E185" s="1119"/>
      <c r="F185" s="1221" t="s">
        <v>1339</v>
      </c>
      <c r="H185" s="1119"/>
      <c r="I185" s="1119"/>
      <c r="J185" s="1195"/>
    </row>
    <row r="186" spans="2:12" ht="16.5" customHeight="1">
      <c r="B186" s="1202"/>
      <c r="C186" s="1119"/>
      <c r="D186" s="1119"/>
      <c r="E186" s="1119"/>
      <c r="F186" s="1119"/>
      <c r="G186" s="1119"/>
      <c r="H186" s="1119"/>
      <c r="I186" s="1119"/>
      <c r="J186" s="1195"/>
    </row>
    <row r="187" spans="2:12" ht="16.5" customHeight="1">
      <c r="B187" s="1202"/>
      <c r="C187" s="1119"/>
      <c r="D187" s="1119"/>
      <c r="E187" s="1119"/>
      <c r="F187" s="30"/>
      <c r="G187" s="6"/>
      <c r="H187" s="6"/>
      <c r="I187" s="6"/>
      <c r="J187" s="7"/>
    </row>
    <row r="188" spans="2:12" ht="16.5" customHeight="1">
      <c r="B188" s="1202"/>
      <c r="C188" s="1119"/>
      <c r="D188" s="1119"/>
      <c r="E188" s="1119"/>
      <c r="F188" s="1994" t="s">
        <v>1895</v>
      </c>
      <c r="G188" s="750"/>
      <c r="H188" s="751"/>
      <c r="I188" s="1995" t="s">
        <v>1894</v>
      </c>
      <c r="J188" s="8"/>
    </row>
    <row r="189" spans="2:12" ht="16.5" customHeight="1">
      <c r="B189" s="1202"/>
      <c r="C189" s="1119"/>
      <c r="D189" s="1119"/>
      <c r="E189" s="1119"/>
      <c r="F189" s="740"/>
      <c r="G189" s="9"/>
      <c r="H189" s="703" t="s">
        <v>783</v>
      </c>
      <c r="I189" s="1876" t="s">
        <v>1336</v>
      </c>
      <c r="J189" s="8"/>
    </row>
    <row r="190" spans="2:12" ht="16.5" customHeight="1">
      <c r="B190" s="1202"/>
      <c r="C190" s="1119"/>
      <c r="D190" s="1119"/>
      <c r="E190" s="1119"/>
      <c r="F190" s="740"/>
      <c r="G190" s="751" t="s">
        <v>1335</v>
      </c>
      <c r="H190" s="1996" t="e">
        <f ca="1">_xll.BDP($G190,H$189)</f>
        <v>#NAME?</v>
      </c>
      <c r="I190" s="1878" t="e">
        <f ca="1">_xll.BDP($G190,I$189)</f>
        <v>#NAME?</v>
      </c>
      <c r="J190" s="8"/>
    </row>
    <row r="191" spans="2:12" ht="16.5" customHeight="1">
      <c r="B191" s="1202"/>
      <c r="C191" s="1119"/>
      <c r="D191" s="1119"/>
      <c r="E191" s="1119"/>
      <c r="F191" s="740"/>
      <c r="G191" s="751" t="s">
        <v>1337</v>
      </c>
      <c r="H191" s="1997" t="e">
        <f ca="1">_xll.BDP($G191,H$189)</f>
        <v>#NAME?</v>
      </c>
      <c r="I191" s="1878" t="e">
        <f ca="1">_xll.BDP($G191,I$189)</f>
        <v>#NAME?</v>
      </c>
      <c r="J191" s="8"/>
    </row>
    <row r="192" spans="2:12" ht="16.5" customHeight="1">
      <c r="B192" s="1202"/>
      <c r="C192" s="1119"/>
      <c r="D192" s="1119"/>
      <c r="E192" s="1119"/>
      <c r="F192" s="740"/>
      <c r="G192" s="751"/>
      <c r="H192" s="751"/>
      <c r="I192" s="751"/>
      <c r="J192" s="8"/>
    </row>
    <row r="193" spans="2:10" ht="16.5" customHeight="1">
      <c r="B193" s="1202"/>
      <c r="C193" s="1119"/>
      <c r="D193" s="1119"/>
      <c r="E193" s="1119"/>
      <c r="F193" s="11"/>
      <c r="G193" s="9"/>
      <c r="H193" s="9"/>
      <c r="I193" s="9"/>
      <c r="J193" s="10"/>
    </row>
    <row r="194" spans="2:10" ht="16.5" customHeight="1">
      <c r="B194" s="1202"/>
      <c r="C194" s="1119"/>
      <c r="D194" s="1119"/>
      <c r="E194" s="1119"/>
      <c r="F194" s="1119"/>
      <c r="G194" s="1993" t="s">
        <v>1399</v>
      </c>
      <c r="H194" s="751"/>
      <c r="I194" s="751"/>
      <c r="J194" s="8"/>
    </row>
    <row r="195" spans="2:10" ht="16.5" customHeight="1">
      <c r="B195" s="1202"/>
      <c r="C195" s="1119"/>
      <c r="D195" s="1119"/>
      <c r="E195" s="1119"/>
      <c r="F195" s="1119"/>
      <c r="G195" s="1119"/>
      <c r="H195" s="1119"/>
      <c r="I195" s="1119"/>
      <c r="J195" s="1195"/>
    </row>
    <row r="196" spans="2:10" ht="16.5" customHeight="1">
      <c r="B196" s="1202"/>
      <c r="C196" s="1119"/>
      <c r="D196" s="1119"/>
      <c r="E196" s="1119"/>
      <c r="F196" s="1119"/>
      <c r="G196" s="1119"/>
      <c r="H196" s="1119"/>
      <c r="I196" s="1119"/>
      <c r="J196" s="1195"/>
    </row>
    <row r="197" spans="2:10" ht="16.5" customHeight="1">
      <c r="B197" s="1202"/>
      <c r="C197" s="1119"/>
      <c r="D197" s="1119"/>
      <c r="E197" s="1119"/>
      <c r="F197" s="1119"/>
      <c r="G197" s="1119"/>
      <c r="H197" s="1119"/>
      <c r="I197" s="1119"/>
      <c r="J197" s="1195"/>
    </row>
    <row r="198" spans="2:10" ht="16.5" customHeight="1">
      <c r="B198" s="1202"/>
      <c r="C198" s="1119"/>
      <c r="D198" s="1119"/>
      <c r="E198" s="1119"/>
      <c r="F198" s="1119"/>
      <c r="G198" s="1119"/>
      <c r="H198" s="1119"/>
      <c r="I198" s="1119"/>
      <c r="J198" s="1195"/>
    </row>
    <row r="199" spans="2:10" ht="16.5" customHeight="1">
      <c r="B199" s="1202"/>
      <c r="C199" s="1119"/>
      <c r="D199" s="1119"/>
      <c r="E199" s="1119"/>
      <c r="F199" s="1119"/>
      <c r="G199" s="1119"/>
      <c r="H199" s="1119"/>
      <c r="I199" s="1119"/>
      <c r="J199" s="1195"/>
    </row>
    <row r="200" spans="2:10" ht="16.5" customHeight="1">
      <c r="B200" s="1202"/>
      <c r="C200" s="1119"/>
      <c r="D200" s="1119"/>
      <c r="E200" s="1119"/>
      <c r="F200" s="1119"/>
      <c r="G200" s="1119"/>
      <c r="H200" s="1119"/>
      <c r="I200" s="1119"/>
      <c r="J200" s="1195"/>
    </row>
    <row r="201" spans="2:10" ht="16.5" customHeight="1">
      <c r="B201" s="1202"/>
      <c r="C201" s="1119"/>
      <c r="D201" s="1119"/>
      <c r="E201" s="1119"/>
      <c r="F201" s="1119"/>
      <c r="G201" s="1119"/>
      <c r="H201" s="1119"/>
      <c r="I201" s="1119"/>
      <c r="J201" s="1195"/>
    </row>
    <row r="202" spans="2:10" ht="16.5" customHeight="1">
      <c r="B202" s="1202"/>
      <c r="C202" s="1119"/>
      <c r="D202" s="1119"/>
      <c r="E202" s="1119"/>
      <c r="F202" s="1119"/>
      <c r="G202" s="1119"/>
      <c r="H202" s="1119"/>
      <c r="I202" s="1222"/>
      <c r="J202" s="1195"/>
    </row>
    <row r="203" spans="2:10" ht="16.5" customHeight="1">
      <c r="B203" s="1202"/>
      <c r="C203" s="1119"/>
      <c r="D203" s="1119"/>
      <c r="E203" s="1119"/>
      <c r="F203" s="1119"/>
      <c r="G203" s="1119"/>
      <c r="H203" s="1119"/>
      <c r="I203" s="1119"/>
      <c r="J203" s="1195"/>
    </row>
    <row r="204" spans="2:10" ht="12.75" customHeight="1">
      <c r="B204" s="1202"/>
      <c r="C204" s="1119"/>
      <c r="D204" s="1119"/>
      <c r="E204" s="1119"/>
      <c r="F204" s="1119"/>
      <c r="G204" s="1119"/>
      <c r="H204" s="1119"/>
      <c r="I204" s="1119"/>
      <c r="J204" s="1195"/>
    </row>
    <row r="205" spans="2:10" ht="16.5" customHeight="1">
      <c r="B205" s="1202"/>
      <c r="C205" s="1119"/>
      <c r="D205" s="1119"/>
      <c r="E205" s="1119"/>
      <c r="F205" s="1119"/>
      <c r="G205" s="1119"/>
      <c r="H205" s="1119"/>
      <c r="I205" s="1119"/>
      <c r="J205" s="1195"/>
    </row>
    <row r="206" spans="2:10" ht="16.5" customHeight="1">
      <c r="B206" s="1202"/>
      <c r="C206" s="1119"/>
      <c r="D206" s="1119"/>
      <c r="E206" s="1119"/>
      <c r="F206" s="1119"/>
      <c r="G206" s="1119"/>
      <c r="H206" s="1119"/>
      <c r="I206" s="1119"/>
      <c r="J206" s="1195"/>
    </row>
    <row r="207" spans="2:10" ht="16.5" customHeight="1">
      <c r="B207" s="1202"/>
      <c r="C207" s="1119"/>
      <c r="D207" s="1119"/>
      <c r="E207" s="1119"/>
      <c r="F207" s="1119"/>
      <c r="G207" s="1119"/>
      <c r="H207" s="1119"/>
      <c r="I207" s="1119"/>
      <c r="J207" s="1195"/>
    </row>
    <row r="208" spans="2:10" ht="16.5" customHeight="1">
      <c r="B208" s="1202"/>
      <c r="C208" s="1119"/>
      <c r="D208" s="1119"/>
      <c r="E208" s="1119"/>
      <c r="F208" s="1119"/>
      <c r="G208" s="1119"/>
      <c r="H208" s="1119"/>
      <c r="I208" s="1119"/>
      <c r="J208" s="1195"/>
    </row>
    <row r="209" spans="2:11" ht="16.5" customHeight="1">
      <c r="B209" s="1202"/>
      <c r="C209" s="1119"/>
      <c r="D209" s="1119"/>
      <c r="E209" s="1119"/>
      <c r="F209" s="1119"/>
      <c r="G209" s="1223"/>
      <c r="H209" s="1210"/>
      <c r="I209" s="1212"/>
      <c r="J209" s="1195"/>
    </row>
    <row r="210" spans="2:11" ht="16.5" customHeight="1">
      <c r="B210" s="1202"/>
      <c r="C210" s="1119"/>
      <c r="D210" s="1119"/>
      <c r="E210" s="1119"/>
      <c r="F210" s="1119"/>
      <c r="G210" s="1119"/>
      <c r="H210" s="1119"/>
      <c r="I210" s="1224"/>
      <c r="J210" s="1195"/>
    </row>
    <row r="211" spans="2:11" ht="16.5" customHeight="1">
      <c r="B211" s="1202"/>
      <c r="C211" s="1119"/>
      <c r="D211" s="1119"/>
      <c r="E211" s="1119"/>
      <c r="F211" s="1119"/>
      <c r="G211" s="1119"/>
      <c r="H211" s="1119"/>
      <c r="I211" s="1119"/>
      <c r="J211" s="1195"/>
    </row>
    <row r="212" spans="2:11" ht="16.5" customHeight="1">
      <c r="B212" s="1202"/>
      <c r="C212" s="1119"/>
      <c r="D212" s="1119"/>
      <c r="E212" s="1119"/>
      <c r="F212" s="1119"/>
      <c r="G212" s="1119"/>
      <c r="H212" s="1127"/>
      <c r="I212" s="1119"/>
      <c r="J212" s="1195"/>
    </row>
    <row r="213" spans="2:11" ht="16.5" customHeight="1">
      <c r="B213" s="1202"/>
      <c r="C213" s="1119"/>
      <c r="D213" s="1119"/>
      <c r="E213" s="1119"/>
      <c r="F213" s="1119"/>
      <c r="G213" s="1119"/>
      <c r="H213" s="1119"/>
      <c r="I213" s="1119"/>
      <c r="J213" s="1195"/>
    </row>
    <row r="214" spans="2:11" ht="16.5" customHeight="1">
      <c r="B214" s="1202"/>
      <c r="C214" s="1119"/>
      <c r="D214" s="1119"/>
      <c r="E214" s="1119"/>
      <c r="F214" s="1119"/>
      <c r="G214" s="1119"/>
      <c r="H214" s="1119"/>
      <c r="I214" s="1119"/>
      <c r="J214" s="1195"/>
    </row>
    <row r="215" spans="2:11" ht="16.5" customHeight="1">
      <c r="B215" s="1202"/>
      <c r="C215" s="1119"/>
      <c r="D215" s="1119"/>
      <c r="E215" s="1119"/>
      <c r="F215" s="1119"/>
      <c r="G215" s="1119"/>
      <c r="H215" s="1119"/>
      <c r="I215" s="1119"/>
      <c r="J215" s="1195"/>
    </row>
    <row r="216" spans="2:11" ht="16.5" customHeight="1">
      <c r="B216" s="1202"/>
      <c r="C216" s="1119"/>
      <c r="D216" s="1119"/>
      <c r="E216" s="1119"/>
      <c r="F216" s="1119"/>
      <c r="G216" s="1119"/>
      <c r="H216" s="1119"/>
      <c r="I216" s="1119"/>
      <c r="J216" s="1195"/>
    </row>
    <row r="217" spans="2:11" ht="16.5" customHeight="1">
      <c r="B217" s="1202"/>
      <c r="C217" s="1119"/>
      <c r="D217" s="1119"/>
      <c r="E217" s="1119"/>
      <c r="F217" s="1119"/>
      <c r="G217" s="1119"/>
      <c r="H217" s="1119"/>
      <c r="I217" s="1119"/>
      <c r="J217" s="1195"/>
    </row>
    <row r="218" spans="2:11" ht="16.5" customHeight="1">
      <c r="B218" s="1202"/>
      <c r="C218" s="1119"/>
      <c r="D218" s="1119"/>
      <c r="E218" s="1119"/>
      <c r="F218" s="1119"/>
      <c r="G218" s="1119"/>
      <c r="H218" s="1119"/>
      <c r="I218" s="1119"/>
      <c r="J218" s="1195"/>
    </row>
    <row r="219" spans="2:11" ht="16.5" customHeight="1">
      <c r="B219" s="1202"/>
      <c r="C219" s="1119"/>
      <c r="D219" s="1119"/>
      <c r="E219" s="1119"/>
      <c r="F219" s="1119"/>
      <c r="G219" s="1119"/>
      <c r="H219" s="1119"/>
      <c r="I219" s="1119"/>
      <c r="J219" s="1195"/>
    </row>
    <row r="220" spans="2:11" ht="16.5" customHeight="1">
      <c r="B220" s="1202"/>
      <c r="C220" s="1119"/>
      <c r="D220" s="1119"/>
      <c r="E220" s="1119"/>
      <c r="F220" s="1119"/>
      <c r="G220" s="1119"/>
      <c r="H220" s="1119"/>
      <c r="I220" s="1119"/>
      <c r="J220" s="1195"/>
    </row>
    <row r="221" spans="2:11" ht="16.5" customHeight="1">
      <c r="B221" s="1202"/>
      <c r="C221" s="1119"/>
      <c r="D221" s="1119"/>
      <c r="E221" s="1119"/>
      <c r="F221" s="1119"/>
      <c r="G221" s="1119"/>
      <c r="H221" s="1119"/>
      <c r="I221" s="1119"/>
      <c r="J221" s="1195"/>
    </row>
    <row r="222" spans="2:11" ht="16.5" customHeight="1">
      <c r="B222" s="1213"/>
      <c r="C222" s="1204"/>
      <c r="D222" s="1204"/>
      <c r="E222" s="1204"/>
      <c r="F222" s="1204"/>
      <c r="G222" s="1204"/>
      <c r="H222" s="1204"/>
      <c r="I222" s="1204"/>
      <c r="J222" s="1204"/>
      <c r="K222" s="1202"/>
    </row>
    <row r="223" spans="2:11" ht="16.5" customHeight="1"/>
    <row r="224" spans="2:11" ht="16.5" customHeight="1"/>
    <row r="225" ht="16.5" customHeight="1"/>
    <row r="226" ht="16.5" customHeight="1"/>
    <row r="227" ht="16.5" customHeight="1"/>
    <row r="228" ht="16.5" customHeight="1"/>
    <row r="229" ht="16.5" customHeight="1"/>
    <row r="230" ht="16.5" customHeight="1"/>
    <row r="231" ht="16.5" customHeight="1"/>
    <row r="232" ht="16.5" customHeight="1"/>
    <row r="233" ht="16.5" customHeight="1"/>
    <row r="234" ht="16.5" customHeight="1"/>
    <row r="235" ht="16.5" customHeight="1"/>
    <row r="236" ht="16.5" customHeight="1"/>
    <row r="237" ht="16.5" customHeight="1"/>
    <row r="238" ht="16.5" customHeight="1"/>
    <row r="239" ht="16.5" customHeight="1"/>
    <row r="240" ht="16.5" customHeight="1"/>
    <row r="241" ht="16.5" customHeight="1"/>
    <row r="242" ht="16.5" customHeight="1"/>
    <row r="243" ht="16.5" customHeight="1"/>
    <row r="244" ht="16.5" customHeight="1"/>
    <row r="245" ht="16.5" customHeight="1"/>
    <row r="246" ht="16.5" customHeight="1"/>
    <row r="247" ht="16.5" customHeight="1"/>
    <row r="248" ht="16.5" customHeight="1"/>
    <row r="249" ht="16.5" customHeight="1"/>
    <row r="250" ht="16.5" customHeight="1"/>
    <row r="251" ht="16.5" customHeight="1"/>
    <row r="252" ht="16.5" customHeight="1"/>
    <row r="253" ht="16.5" customHeight="1"/>
    <row r="254" ht="16.5" customHeight="1"/>
    <row r="255" ht="16.5" customHeight="1"/>
    <row r="256" ht="16.5" customHeight="1"/>
    <row r="257" ht="16.5" customHeight="1"/>
    <row r="258" ht="16.5" customHeight="1"/>
    <row r="259" ht="16.5" customHeight="1"/>
    <row r="260" ht="16.5" customHeight="1"/>
    <row r="261" ht="16.5" customHeight="1"/>
    <row r="262" ht="16.5" customHeight="1"/>
    <row r="263" ht="16.5" customHeight="1"/>
    <row r="264" ht="16.5" customHeight="1"/>
    <row r="265" ht="16.5" customHeight="1"/>
    <row r="266" ht="16.5" customHeight="1"/>
    <row r="267" ht="16.5" customHeight="1"/>
    <row r="268" ht="16.5" customHeight="1"/>
    <row r="269" ht="16.5" customHeight="1"/>
    <row r="270" ht="16.5" customHeight="1"/>
    <row r="271" ht="16.5" customHeight="1"/>
    <row r="272" ht="16.5" customHeight="1"/>
    <row r="273" ht="16.5" customHeight="1"/>
    <row r="274" ht="16.5" customHeight="1"/>
    <row r="275" ht="16.5" customHeight="1"/>
    <row r="276" ht="16.5" customHeight="1"/>
  </sheetData>
  <mergeCells count="16">
    <mergeCell ref="G145:H145"/>
    <mergeCell ref="G146:H146"/>
    <mergeCell ref="B140:C140"/>
    <mergeCell ref="G138:H138"/>
    <mergeCell ref="G139:H139"/>
    <mergeCell ref="G140:H140"/>
    <mergeCell ref="B139:C139"/>
    <mergeCell ref="G134:H134"/>
    <mergeCell ref="G135:H135"/>
    <mergeCell ref="G136:H136"/>
    <mergeCell ref="G137:H137"/>
    <mergeCell ref="B138:C138"/>
    <mergeCell ref="B134:C134"/>
    <mergeCell ref="B135:C135"/>
    <mergeCell ref="B136:C136"/>
    <mergeCell ref="B137:C137"/>
  </mergeCells>
  <phoneticPr fontId="0" type="noConversion"/>
  <pageMargins left="0.7" right="0.7" top="0.75" bottom="0.75" header="0.3" footer="0.3"/>
  <pageSetup paperSize="9" orientation="portrait" r:id="rId1"/>
  <ignoredErrors>
    <ignoredError sqref="E126:E129" formula="1"/>
  </ignoredError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tabColor rgb="FFFFFFCC"/>
  </sheetPr>
  <dimension ref="A1:BN338"/>
  <sheetViews>
    <sheetView topLeftCell="A52" zoomScale="90" zoomScaleNormal="90" workbookViewId="0"/>
  </sheetViews>
  <sheetFormatPr baseColWidth="10" defaultColWidth="9.140625" defaultRowHeight="15"/>
  <cols>
    <col min="1" max="1" width="3.7109375" style="1117" customWidth="1"/>
    <col min="2" max="2" width="18.85546875" style="750" customWidth="1"/>
    <col min="3" max="3" width="21.7109375" style="750" customWidth="1"/>
    <col min="4" max="7" width="18.85546875" style="750" customWidth="1"/>
    <col min="8" max="8" width="22.140625" style="750" customWidth="1"/>
    <col min="9" max="9" width="19.28515625" style="750" customWidth="1"/>
    <col min="10" max="10" width="17" style="750" bestFit="1" customWidth="1"/>
    <col min="11" max="11" width="19.5703125" style="1117" bestFit="1" customWidth="1"/>
    <col min="12" max="12" width="43" style="1117" customWidth="1"/>
    <col min="13" max="13" width="15.7109375" style="1117" bestFit="1" customWidth="1"/>
    <col min="14" max="18" width="18.85546875" style="1117" customWidth="1"/>
    <col min="19" max="19" width="9.140625" style="1117"/>
    <col min="20" max="20" width="11.28515625" style="1117" customWidth="1"/>
    <col min="21" max="66" width="9.140625" style="1117"/>
    <col min="67" max="16384" width="9.140625" style="750"/>
  </cols>
  <sheetData>
    <row r="1" spans="1:11" s="1117" customFormat="1" ht="17.25" customHeight="1">
      <c r="A1" s="1154"/>
    </row>
    <row r="2" spans="1:11" s="1117" customFormat="1"/>
    <row r="3" spans="1:11" s="1117" customFormat="1"/>
    <row r="4" spans="1:11" s="1117" customFormat="1"/>
    <row r="5" spans="1:11" s="1117" customFormat="1" ht="21">
      <c r="B5" s="1158" t="s">
        <v>20</v>
      </c>
      <c r="C5" s="1267"/>
      <c r="D5" s="1267"/>
      <c r="E5" s="1267"/>
      <c r="K5" s="1119"/>
    </row>
    <row r="6" spans="1:11" s="1117" customFormat="1" ht="15.75">
      <c r="B6" s="1189" t="s">
        <v>218</v>
      </c>
      <c r="C6" s="1267"/>
      <c r="D6" s="1267"/>
      <c r="E6" s="1267"/>
      <c r="K6" s="1119"/>
    </row>
    <row r="7" spans="1:11" s="1117" customFormat="1" ht="15.75">
      <c r="B7" s="1190" t="s">
        <v>30</v>
      </c>
      <c r="C7" s="1267"/>
      <c r="D7" s="1267"/>
      <c r="E7" s="1267"/>
      <c r="K7" s="1119"/>
    </row>
    <row r="8" spans="1:11" s="1117" customFormat="1">
      <c r="K8" s="1119"/>
    </row>
    <row r="9" spans="1:11" s="1117" customFormat="1" ht="21">
      <c r="B9" s="1158" t="s">
        <v>891</v>
      </c>
      <c r="K9" s="1119"/>
    </row>
    <row r="10" spans="1:11" s="1117" customFormat="1">
      <c r="B10" s="1268" t="s">
        <v>186</v>
      </c>
      <c r="K10" s="1119"/>
    </row>
    <row r="11" spans="1:11" s="1117" customFormat="1">
      <c r="B11" s="1268" t="s">
        <v>188</v>
      </c>
      <c r="K11" s="1119"/>
    </row>
    <row r="12" spans="1:11" s="1117" customFormat="1">
      <c r="B12" s="1268" t="s">
        <v>187</v>
      </c>
      <c r="K12" s="1119"/>
    </row>
    <row r="13" spans="1:11" s="1117" customFormat="1">
      <c r="B13" s="1268"/>
    </row>
    <row r="14" spans="1:11" s="1117" customFormat="1" ht="21">
      <c r="B14" s="1158" t="s">
        <v>939</v>
      </c>
    </row>
    <row r="15" spans="1:11" s="1117" customFormat="1">
      <c r="B15" s="1584" t="s">
        <v>1842</v>
      </c>
    </row>
    <row r="16" spans="1:11" s="1117" customFormat="1">
      <c r="B16" s="1584" t="s">
        <v>1843</v>
      </c>
    </row>
    <row r="17" spans="2:7" s="1117" customFormat="1">
      <c r="B17" s="1191" t="s">
        <v>983</v>
      </c>
    </row>
    <row r="18" spans="2:7" s="1117" customFormat="1">
      <c r="B18" s="1268"/>
    </row>
    <row r="19" spans="2:7" s="1117" customFormat="1" ht="21">
      <c r="B19" s="1158" t="s">
        <v>940</v>
      </c>
    </row>
    <row r="20" spans="2:7" s="1117" customFormat="1">
      <c r="B20" s="1268" t="s">
        <v>25</v>
      </c>
    </row>
    <row r="21" spans="2:7" s="1117" customFormat="1">
      <c r="B21" s="1192" t="s">
        <v>1785</v>
      </c>
    </row>
    <row r="22" spans="2:7" s="1117" customFormat="1"/>
    <row r="23" spans="2:7" s="1117" customFormat="1">
      <c r="B23" s="1268"/>
    </row>
    <row r="24" spans="2:7" s="1117" customFormat="1"/>
    <row r="25" spans="2:7" s="1117" customFormat="1"/>
    <row r="26" spans="2:7" s="1117" customFormat="1"/>
    <row r="27" spans="2:7" s="1117" customFormat="1"/>
    <row r="28" spans="2:7" s="1117" customFormat="1"/>
    <row r="29" spans="2:7" s="1117" customFormat="1">
      <c r="G29" s="1117" t="s">
        <v>960</v>
      </c>
    </row>
    <row r="30" spans="2:7" s="1117" customFormat="1"/>
    <row r="31" spans="2:7" s="1117" customFormat="1"/>
    <row r="32" spans="2:7" s="1117" customFormat="1"/>
    <row r="33" spans="2:2" s="1117" customFormat="1"/>
    <row r="34" spans="2:2" s="1117" customFormat="1"/>
    <row r="35" spans="2:2" s="1117" customFormat="1"/>
    <row r="36" spans="2:2" s="1117" customFormat="1"/>
    <row r="37" spans="2:2" s="1117" customFormat="1"/>
    <row r="38" spans="2:2" s="1117" customFormat="1"/>
    <row r="39" spans="2:2" s="1117" customFormat="1"/>
    <row r="40" spans="2:2" s="1117" customFormat="1"/>
    <row r="41" spans="2:2" s="1117" customFormat="1">
      <c r="B41" s="1117" t="s">
        <v>1736</v>
      </c>
    </row>
    <row r="42" spans="2:2" s="1117" customFormat="1">
      <c r="B42" s="1117" t="s">
        <v>1737</v>
      </c>
    </row>
    <row r="43" spans="2:2" s="1117" customFormat="1"/>
    <row r="44" spans="2:2" s="1117" customFormat="1"/>
    <row r="45" spans="2:2" s="1117" customFormat="1"/>
    <row r="46" spans="2:2" s="1117" customFormat="1"/>
    <row r="47" spans="2:2" s="1117" customFormat="1"/>
    <row r="48" spans="2:2" s="1117" customFormat="1"/>
    <row r="49" spans="2:11" s="1117" customFormat="1"/>
    <row r="50" spans="2:11" s="1117" customFormat="1"/>
    <row r="51" spans="2:11" s="1117" customFormat="1"/>
    <row r="52" spans="2:11" s="1117" customFormat="1"/>
    <row r="53" spans="2:11" s="1117" customFormat="1"/>
    <row r="54" spans="2:11" s="1117" customFormat="1"/>
    <row r="55" spans="2:11" s="1117" customFormat="1"/>
    <row r="56" spans="2:11" s="1117" customFormat="1"/>
    <row r="57" spans="2:11" s="1117" customFormat="1"/>
    <row r="58" spans="2:11" s="1117" customFormat="1"/>
    <row r="59" spans="2:11" s="1117" customFormat="1"/>
    <row r="60" spans="2:11" s="1117" customFormat="1"/>
    <row r="61" spans="2:11" s="1117" customFormat="1">
      <c r="I61" s="1269"/>
      <c r="J61" s="1269"/>
      <c r="K61" s="1269"/>
    </row>
    <row r="62" spans="2:11" s="1117" customFormat="1">
      <c r="I62" s="1269"/>
      <c r="J62" s="1269"/>
      <c r="K62" s="1269"/>
    </row>
    <row r="63" spans="2:11" s="1117" customFormat="1" ht="21">
      <c r="B63" s="1270" t="s">
        <v>94</v>
      </c>
      <c r="C63" s="1204"/>
      <c r="D63" s="1204"/>
      <c r="E63" s="1204"/>
      <c r="F63" s="1204"/>
      <c r="G63" s="1204"/>
      <c r="H63" s="1204"/>
      <c r="I63" s="1271"/>
      <c r="J63" s="1271"/>
      <c r="K63" s="1269"/>
    </row>
    <row r="64" spans="2:11">
      <c r="B64" s="209"/>
      <c r="C64" s="234"/>
      <c r="D64" s="208"/>
      <c r="E64" s="208"/>
      <c r="F64" s="208"/>
      <c r="G64" s="208"/>
      <c r="H64" s="208"/>
      <c r="I64" s="208"/>
      <c r="J64" s="208"/>
      <c r="K64" s="1197"/>
    </row>
    <row r="65" spans="2:11">
      <c r="B65" s="209" t="s">
        <v>892</v>
      </c>
      <c r="C65" s="208" t="s">
        <v>945</v>
      </c>
      <c r="E65" s="208"/>
      <c r="F65" s="208"/>
      <c r="G65" s="1330" t="s">
        <v>1787</v>
      </c>
      <c r="H65" s="1331"/>
      <c r="I65" s="208"/>
      <c r="J65" s="208"/>
      <c r="K65" s="1197"/>
    </row>
    <row r="66" spans="2:11">
      <c r="B66" s="209"/>
      <c r="C66" s="208"/>
      <c r="D66" s="208"/>
      <c r="E66" s="208"/>
      <c r="F66" s="208"/>
      <c r="G66" s="208"/>
      <c r="H66" s="208"/>
      <c r="I66" s="208"/>
      <c r="J66" s="208"/>
      <c r="K66" s="1197"/>
    </row>
    <row r="67" spans="2:11">
      <c r="B67" s="209"/>
      <c r="C67" s="1327" t="s">
        <v>426</v>
      </c>
      <c r="D67" s="454" t="s">
        <v>470</v>
      </c>
      <c r="E67" s="454" t="s">
        <v>885</v>
      </c>
      <c r="F67" s="454" t="s">
        <v>893</v>
      </c>
      <c r="G67" s="245" t="s">
        <v>894</v>
      </c>
      <c r="H67" s="246" t="s">
        <v>470</v>
      </c>
      <c r="I67" s="208"/>
      <c r="K67" s="1197"/>
    </row>
    <row r="68" spans="2:11">
      <c r="B68" s="773" t="s">
        <v>1398</v>
      </c>
      <c r="C68" s="36" t="e">
        <f ca="1">_xll.BDP($B68,C$67,$G$67:$H$67,$G68:$H68)</f>
        <v>#NAME?</v>
      </c>
      <c r="D68" s="36" t="e">
        <f ca="1">_xll.BDP($B68,D$67,$G$67:$H$67,$G68:$H68)</f>
        <v>#NAME?</v>
      </c>
      <c r="E68" s="39" t="e">
        <f ca="1">_xll.BDP($B68,E$67,$G$67:$H$67,$G68:$H68)</f>
        <v>#NAME?</v>
      </c>
      <c r="F68" s="240" t="e">
        <f ca="1">_xll.BDP($B68,F$67,$G$67:$H$67,$G68:$H68)</f>
        <v>#NAME?</v>
      </c>
      <c r="G68" s="1328"/>
      <c r="H68" s="1332">
        <v>5.23</v>
      </c>
      <c r="I68" s="308" t="s">
        <v>948</v>
      </c>
      <c r="K68" s="1197"/>
    </row>
    <row r="69" spans="2:11">
      <c r="B69" s="743" t="s">
        <v>1502</v>
      </c>
      <c r="C69" s="36" t="e">
        <f ca="1">_xll.BDP($B69,C$67,$G$67:$H$67,$G69:$H69)</f>
        <v>#NAME?</v>
      </c>
      <c r="D69" s="36" t="e">
        <f ca="1">_xll.BDP($B69,D$67,$G$67:$H$67,$G69:$H69)</f>
        <v>#NAME?</v>
      </c>
      <c r="E69" s="39" t="e">
        <f ca="1">_xll.BDP($B69,E$67,$G$67:$H$67,$G69:$H69)</f>
        <v>#NAME?</v>
      </c>
      <c r="F69" s="240" t="e">
        <f ca="1">_xll.BDP($B69,F$67,$G$67:$H$67,$G69:$H69)</f>
        <v>#NAME?</v>
      </c>
      <c r="G69" s="1332">
        <v>102.34</v>
      </c>
      <c r="H69" s="1329"/>
      <c r="I69" s="309" t="s">
        <v>48</v>
      </c>
      <c r="K69" s="1197"/>
    </row>
    <row r="70" spans="2:11">
      <c r="B70" s="743" t="s">
        <v>1504</v>
      </c>
      <c r="C70" s="36" t="e">
        <f ca="1">_xll.BDP($B70,C$67,$G$67:$H$67,$G70:$H70)</f>
        <v>#NAME?</v>
      </c>
      <c r="D70" s="36" t="e">
        <f ca="1">_xll.BDP($B70,D$67,$G$67:$H$67,$G70:$H70)</f>
        <v>#NAME?</v>
      </c>
      <c r="E70" s="39" t="e">
        <f ca="1">_xll.BDP($B70,E$67,$G$67:$H$67,$G70:$H70)</f>
        <v>#NAME?</v>
      </c>
      <c r="F70" s="240" t="e">
        <f ca="1">_xll.BDP($B70,F$67,$G$67:$H$67,$G70:$H70)</f>
        <v>#NAME?</v>
      </c>
      <c r="G70" s="1329"/>
      <c r="H70" s="1329"/>
      <c r="I70" s="309" t="s">
        <v>1250</v>
      </c>
      <c r="K70" s="1197"/>
    </row>
    <row r="71" spans="2:11">
      <c r="B71" s="242"/>
      <c r="C71" s="36"/>
      <c r="D71" s="36"/>
      <c r="E71" s="39"/>
      <c r="F71" s="240"/>
      <c r="G71" s="241"/>
      <c r="H71" s="241"/>
      <c r="I71" s="208"/>
      <c r="J71" s="248"/>
      <c r="K71" s="1197"/>
    </row>
    <row r="72" spans="2:11">
      <c r="B72" s="242"/>
      <c r="C72" s="39"/>
      <c r="D72" s="36"/>
      <c r="E72" s="39"/>
      <c r="F72" s="240"/>
      <c r="G72" s="241"/>
      <c r="H72" s="241"/>
      <c r="I72" s="208"/>
      <c r="J72" s="247"/>
      <c r="K72" s="1197"/>
    </row>
    <row r="73" spans="2:11">
      <c r="B73" s="206"/>
      <c r="C73" s="207"/>
      <c r="D73" s="207"/>
      <c r="E73" s="207"/>
      <c r="F73" s="207"/>
      <c r="G73" s="207"/>
      <c r="H73" s="207"/>
      <c r="I73" s="207"/>
      <c r="J73" s="207"/>
      <c r="K73" s="1197"/>
    </row>
    <row r="74" spans="2:11">
      <c r="B74" s="1090"/>
      <c r="C74" s="807" t="s">
        <v>1786</v>
      </c>
      <c r="D74" s="208"/>
      <c r="E74" s="377" t="s">
        <v>42</v>
      </c>
      <c r="F74" s="208"/>
      <c r="G74" s="208"/>
      <c r="H74" s="208"/>
      <c r="I74" s="208"/>
      <c r="J74" s="213"/>
      <c r="K74" s="1269"/>
    </row>
    <row r="75" spans="2:11">
      <c r="B75" s="1090"/>
      <c r="C75" s="208"/>
      <c r="D75" s="208"/>
      <c r="E75" s="208"/>
      <c r="F75" s="208"/>
      <c r="G75" s="208"/>
      <c r="H75" s="208"/>
      <c r="I75" s="208"/>
      <c r="J75" s="213"/>
    </row>
    <row r="76" spans="2:11">
      <c r="B76" s="209"/>
      <c r="C76" s="208"/>
      <c r="D76" s="208"/>
      <c r="E76" s="208"/>
      <c r="F76" s="208"/>
      <c r="G76" s="208"/>
      <c r="H76" s="208"/>
      <c r="I76" s="208"/>
      <c r="J76" s="213"/>
    </row>
    <row r="77" spans="2:11">
      <c r="B77" s="209"/>
      <c r="C77" s="208"/>
      <c r="D77" s="208"/>
      <c r="E77" s="208"/>
      <c r="F77" s="208"/>
      <c r="G77" s="235"/>
      <c r="H77" s="208"/>
      <c r="I77" s="208"/>
      <c r="J77" s="213"/>
    </row>
    <row r="78" spans="2:11">
      <c r="B78" s="209"/>
      <c r="C78" s="208"/>
      <c r="D78" s="208"/>
      <c r="E78" s="208"/>
      <c r="F78" s="208"/>
      <c r="G78" s="208"/>
      <c r="H78" s="208"/>
      <c r="I78" s="208"/>
      <c r="J78" s="213"/>
    </row>
    <row r="79" spans="2:11">
      <c r="B79" s="773" t="s">
        <v>941</v>
      </c>
      <c r="C79" s="208"/>
      <c r="D79" s="208"/>
      <c r="E79" s="208" t="s">
        <v>189</v>
      </c>
      <c r="F79" s="208"/>
      <c r="G79" s="235"/>
      <c r="H79" s="244" t="s">
        <v>942</v>
      </c>
      <c r="I79" s="1091"/>
      <c r="J79" s="1092"/>
    </row>
    <row r="80" spans="2:11">
      <c r="B80" s="1325" t="s">
        <v>37</v>
      </c>
      <c r="C80" s="208"/>
      <c r="D80" s="208"/>
      <c r="E80" s="708" t="s">
        <v>1788</v>
      </c>
      <c r="F80" s="208"/>
      <c r="G80" s="235"/>
      <c r="H80" s="244" t="s">
        <v>943</v>
      </c>
      <c r="I80" s="1091"/>
      <c r="J80" s="1092"/>
    </row>
    <row r="81" spans="1:13">
      <c r="A81" s="1117" t="s">
        <v>526</v>
      </c>
      <c r="B81" s="1326" t="s">
        <v>41</v>
      </c>
      <c r="C81" s="208"/>
      <c r="D81" s="208"/>
      <c r="E81" s="208" t="s">
        <v>38</v>
      </c>
      <c r="F81" s="208"/>
      <c r="G81" s="235"/>
      <c r="H81" s="244" t="s">
        <v>944</v>
      </c>
      <c r="I81" s="1091"/>
      <c r="J81" s="1092"/>
    </row>
    <row r="82" spans="1:13">
      <c r="B82" s="740"/>
      <c r="C82" s="208"/>
      <c r="D82" s="208"/>
      <c r="E82" s="708" t="s">
        <v>190</v>
      </c>
      <c r="F82" s="208"/>
      <c r="G82" s="235"/>
      <c r="H82" s="244" t="s">
        <v>942</v>
      </c>
      <c r="I82" s="1091"/>
      <c r="J82" s="1092"/>
    </row>
    <row r="83" spans="1:13">
      <c r="B83" s="209" t="s">
        <v>39</v>
      </c>
      <c r="C83" s="208"/>
      <c r="D83" s="208"/>
      <c r="E83" s="208" t="s">
        <v>981</v>
      </c>
      <c r="F83" s="208"/>
      <c r="G83" s="235"/>
      <c r="H83" s="208"/>
      <c r="I83" s="208"/>
      <c r="J83" s="213"/>
    </row>
    <row r="84" spans="1:13">
      <c r="B84" s="236" t="s">
        <v>40</v>
      </c>
      <c r="C84" s="210"/>
      <c r="D84" s="9"/>
      <c r="E84" s="9"/>
      <c r="F84" s="210"/>
      <c r="G84" s="237"/>
      <c r="H84" s="376"/>
      <c r="I84" s="210"/>
      <c r="J84" s="238"/>
    </row>
    <row r="85" spans="1:13" s="1117" customFormat="1"/>
    <row r="86" spans="1:13" s="1117" customFormat="1" ht="21">
      <c r="B86" s="1270" t="s">
        <v>153</v>
      </c>
    </row>
    <row r="87" spans="1:13">
      <c r="B87" s="206"/>
      <c r="C87" s="375" t="s">
        <v>982</v>
      </c>
      <c r="D87" s="207"/>
      <c r="E87" s="207"/>
      <c r="F87" s="207"/>
      <c r="G87" s="249"/>
      <c r="H87" s="212"/>
      <c r="I87" s="1211" t="s">
        <v>1970</v>
      </c>
      <c r="J87" s="1200"/>
      <c r="K87" s="1200"/>
      <c r="L87" s="1201"/>
      <c r="M87" s="1154"/>
    </row>
    <row r="88" spans="1:13" ht="15.75" customHeight="1">
      <c r="B88" s="209"/>
      <c r="C88" s="239" t="s">
        <v>895</v>
      </c>
      <c r="D88" s="239" t="s">
        <v>896</v>
      </c>
      <c r="E88" s="239" t="s">
        <v>897</v>
      </c>
      <c r="F88" s="244" t="s">
        <v>895</v>
      </c>
      <c r="G88" s="244" t="s">
        <v>896</v>
      </c>
      <c r="H88" s="250" t="s">
        <v>897</v>
      </c>
      <c r="I88" s="1213" t="s">
        <v>1968</v>
      </c>
      <c r="J88" s="1204" t="s">
        <v>1969</v>
      </c>
      <c r="K88" s="1204"/>
      <c r="L88" s="1265"/>
      <c r="M88" s="1154"/>
    </row>
    <row r="89" spans="1:13">
      <c r="B89" s="1316" t="s">
        <v>1504</v>
      </c>
      <c r="C89" s="310" t="e">
        <f ca="1">_xll.BDP($B89,C$88,$F$88:$H$88,$F89:$H89)</f>
        <v>#NAME?</v>
      </c>
      <c r="D89" s="273" t="e">
        <f ca="1">_xll.BDP($B89,D$88,$F$88:$H$88,$F89:$H89)</f>
        <v>#NAME?</v>
      </c>
      <c r="E89" s="273" t="e">
        <f ca="1">_xll.BDP($B89,E$88,$F$88:$H$88,$F89:$H89)</f>
        <v>#NAME?</v>
      </c>
      <c r="F89" s="1303"/>
      <c r="G89" s="1319">
        <v>75.5</v>
      </c>
      <c r="H89" s="1303"/>
      <c r="I89" s="30"/>
      <c r="J89" s="2112" t="s">
        <v>1971</v>
      </c>
      <c r="K89" s="2113" t="s">
        <v>1972</v>
      </c>
      <c r="L89" s="7"/>
      <c r="M89" s="1154"/>
    </row>
    <row r="90" spans="1:13">
      <c r="B90" s="1316" t="s">
        <v>1502</v>
      </c>
      <c r="C90" s="273" t="e">
        <f ca="1">_xll.BDP($B90,C$88,$F$88:$H$88,$F90:$H90)</f>
        <v>#NAME?</v>
      </c>
      <c r="D90" s="273" t="e">
        <f ca="1">_xll.BDP($B90,D$88,$F$88:$H$88,$F90:$H90)</f>
        <v>#NAME?</v>
      </c>
      <c r="E90" s="273" t="e">
        <f ca="1">_xll.BDP($B90,E$88,$F$88:$H$88,$F90:$H90)</f>
        <v>#NAME?</v>
      </c>
      <c r="F90" s="1303">
        <v>93.53</v>
      </c>
      <c r="G90" s="1303"/>
      <c r="H90" s="1303"/>
      <c r="I90" s="740"/>
      <c r="J90" s="751" t="s">
        <v>471</v>
      </c>
      <c r="K90" s="2111" t="s">
        <v>1963</v>
      </c>
      <c r="L90" s="8"/>
      <c r="M90" s="1118"/>
    </row>
    <row r="91" spans="1:13">
      <c r="B91" s="251"/>
      <c r="C91" s="252"/>
      <c r="D91" s="253"/>
      <c r="E91" s="253"/>
      <c r="F91" s="254"/>
      <c r="G91" s="254"/>
      <c r="H91" s="255"/>
      <c r="I91" s="1257" t="s">
        <v>1965</v>
      </c>
      <c r="J91" s="2032" t="e">
        <f ca="1">_xll.BDP($I91,J$90)</f>
        <v>#NAME?</v>
      </c>
      <c r="K91" s="2114" t="e">
        <f ca="1">_xll.BDP($I91,K$90,L91)</f>
        <v>#NAME?</v>
      </c>
      <c r="L91" s="1257" t="s">
        <v>1962</v>
      </c>
      <c r="M91" s="1118"/>
    </row>
    <row r="92" spans="1:13">
      <c r="B92" s="1093"/>
      <c r="C92" s="1094"/>
      <c r="D92" s="1095"/>
      <c r="E92" s="1095"/>
      <c r="F92" s="1096"/>
      <c r="G92" s="1096"/>
      <c r="H92" s="1097"/>
      <c r="I92" s="1257" t="s">
        <v>1965</v>
      </c>
      <c r="J92" s="25" t="e">
        <f ca="1">_xll.BDP($I92,J$90)</f>
        <v>#NAME?</v>
      </c>
      <c r="K92" s="391" t="e">
        <f ca="1">_xll.BDP($I92,K$90,L92)</f>
        <v>#NAME?</v>
      </c>
      <c r="L92" s="1257" t="s">
        <v>1964</v>
      </c>
      <c r="M92" s="1118"/>
    </row>
    <row r="93" spans="1:13">
      <c r="B93" s="209"/>
      <c r="C93" s="1098"/>
      <c r="D93" s="1099"/>
      <c r="E93" s="1099"/>
      <c r="F93" s="257"/>
      <c r="G93" s="257"/>
      <c r="H93" s="261"/>
      <c r="I93" s="740"/>
      <c r="J93" s="751"/>
      <c r="K93" s="751"/>
      <c r="L93" s="8"/>
      <c r="M93" s="1118"/>
    </row>
    <row r="94" spans="1:13">
      <c r="B94" s="251"/>
      <c r="C94" s="1100" t="s">
        <v>982</v>
      </c>
      <c r="D94" s="253"/>
      <c r="E94" s="253"/>
      <c r="F94" s="254"/>
      <c r="G94" s="254"/>
      <c r="H94" s="255"/>
      <c r="I94" s="11"/>
      <c r="J94" s="9"/>
      <c r="K94" s="9"/>
      <c r="L94" s="10"/>
      <c r="M94" s="1118"/>
    </row>
    <row r="95" spans="1:13">
      <c r="B95" s="1101"/>
      <c r="C95" s="1102"/>
      <c r="D95" s="1103"/>
      <c r="E95" s="1103"/>
      <c r="F95" s="257"/>
      <c r="G95" s="257"/>
      <c r="H95" s="257"/>
      <c r="I95" s="1191"/>
      <c r="J95" s="1268"/>
      <c r="K95" s="1118"/>
      <c r="L95" s="1278"/>
      <c r="M95" s="1191"/>
    </row>
    <row r="96" spans="1:13">
      <c r="B96" s="256"/>
      <c r="C96" s="346" t="s">
        <v>136</v>
      </c>
      <c r="D96" s="207"/>
      <c r="E96" s="207"/>
      <c r="F96" s="286" t="s">
        <v>193</v>
      </c>
      <c r="G96" s="249"/>
      <c r="H96" s="207"/>
      <c r="I96" s="1279"/>
      <c r="J96" s="1154"/>
      <c r="K96" s="1118"/>
      <c r="L96" s="1280"/>
      <c r="M96" s="1191"/>
    </row>
    <row r="97" spans="2:13">
      <c r="B97" s="209"/>
      <c r="C97" s="239" t="s">
        <v>470</v>
      </c>
      <c r="D97" s="239" t="s">
        <v>885</v>
      </c>
      <c r="E97" s="239" t="s">
        <v>426</v>
      </c>
      <c r="F97" s="244" t="s">
        <v>898</v>
      </c>
      <c r="G97" s="244" t="s">
        <v>426</v>
      </c>
      <c r="H97" s="219"/>
      <c r="I97" s="1279"/>
      <c r="J97" s="1154"/>
      <c r="K97" s="1118"/>
      <c r="L97" s="1263"/>
      <c r="M97" s="1281"/>
    </row>
    <row r="98" spans="2:13">
      <c r="B98" s="1316" t="s">
        <v>1504</v>
      </c>
      <c r="C98" s="756" t="e">
        <f ca="1">_xll.BDP($B98,C$97,$F$97:$G$97,$F98:$G98)</f>
        <v>#NAME?</v>
      </c>
      <c r="D98" s="267" t="e">
        <f ca="1">_xll.BDP($B98,D$97,$F$97:$G$97,$F98:$G98)</f>
        <v>#NAME?</v>
      </c>
      <c r="E98" s="267" t="e">
        <f ca="1">_xll.BDP($B98,E$97,$F$97:$G$97,$F98:$G98)</f>
        <v>#NAME?</v>
      </c>
      <c r="F98" s="1308">
        <v>20150214</v>
      </c>
      <c r="G98" s="1303">
        <v>98.25</v>
      </c>
      <c r="H98" s="263"/>
      <c r="I98" s="1279"/>
      <c r="J98" s="1154"/>
      <c r="K98" s="1118"/>
      <c r="L98" s="1282"/>
      <c r="M98" s="1263"/>
    </row>
    <row r="99" spans="2:13">
      <c r="B99" s="1316" t="s">
        <v>1398</v>
      </c>
      <c r="C99" s="350" t="e">
        <f ca="1">_xll.BDP($B99,C$97,$F$97:$G$97,$F99:$G99)</f>
        <v>#NAME?</v>
      </c>
      <c r="D99" s="267" t="e">
        <f ca="1">_xll.BDP($B99,D$97,$F$97:$G$97,$F99:$G99)</f>
        <v>#NAME?</v>
      </c>
      <c r="E99" s="267" t="e">
        <f ca="1">_xll.BDP($B99,E$97,$F$97:$G$97,$F99:$G99)</f>
        <v>#NAME?</v>
      </c>
      <c r="F99" s="1308">
        <v>20151225</v>
      </c>
      <c r="G99" s="1303">
        <v>80.05</v>
      </c>
      <c r="H99" s="263"/>
      <c r="I99" s="1279"/>
      <c r="J99" s="1154"/>
      <c r="K99" s="1118"/>
      <c r="L99" s="1282"/>
      <c r="M99" s="1263"/>
    </row>
    <row r="100" spans="2:13">
      <c r="B100" s="1316" t="s">
        <v>1503</v>
      </c>
      <c r="C100" s="350" t="e">
        <f ca="1">_xll.BDP($B100,C$97,$F$97:$G$97,$F100:$G100)</f>
        <v>#NAME?</v>
      </c>
      <c r="D100" s="267" t="e">
        <f ca="1">_xll.BDP($B100,D$97,$F$97:$G$97,$F100:$G100)</f>
        <v>#NAME?</v>
      </c>
      <c r="E100" s="267" t="e">
        <f ca="1">_xll.BDP($B100,E$97,$F$97:$G$97,$F100:$G100)</f>
        <v>#NAME?</v>
      </c>
      <c r="F100" s="1033" t="str">
        <f>TEXT(H100,"YYYYMMDD")</f>
        <v>20161230</v>
      </c>
      <c r="G100" s="1317">
        <v>92.125</v>
      </c>
      <c r="H100" s="1334">
        <v>42734</v>
      </c>
      <c r="I100" s="1118"/>
      <c r="J100" s="1154"/>
      <c r="K100" s="1118"/>
      <c r="L100" s="1191"/>
      <c r="M100" s="1191"/>
    </row>
    <row r="101" spans="2:13">
      <c r="B101" s="236"/>
      <c r="C101" s="210"/>
      <c r="D101" s="210"/>
      <c r="E101" s="210"/>
      <c r="F101" s="210"/>
      <c r="G101" s="237"/>
      <c r="H101" s="210"/>
      <c r="I101" s="1279"/>
      <c r="J101" s="1154"/>
      <c r="K101" s="1118"/>
      <c r="L101" s="1118"/>
      <c r="M101" s="1118"/>
    </row>
    <row r="102" spans="2:13">
      <c r="B102" s="1089"/>
      <c r="C102" s="1089"/>
      <c r="D102" s="1089"/>
      <c r="E102" s="208"/>
      <c r="F102" s="208"/>
      <c r="G102" s="235"/>
      <c r="H102" s="208"/>
      <c r="I102" s="1191"/>
      <c r="J102" s="1268"/>
      <c r="K102" s="1118"/>
      <c r="L102" s="1118"/>
      <c r="M102" s="1118"/>
    </row>
    <row r="103" spans="2:13">
      <c r="B103" s="264"/>
      <c r="C103" s="346" t="s">
        <v>137</v>
      </c>
      <c r="D103" s="207"/>
      <c r="E103" s="207"/>
      <c r="F103" s="207"/>
      <c r="G103" s="249"/>
      <c r="H103" s="212"/>
      <c r="I103" s="1154"/>
      <c r="J103" s="1154"/>
      <c r="K103" s="1154"/>
      <c r="L103" s="1118"/>
      <c r="M103" s="1118"/>
    </row>
    <row r="104" spans="2:13">
      <c r="B104" s="209"/>
      <c r="C104" s="25"/>
      <c r="D104" s="258"/>
      <c r="E104" s="258"/>
      <c r="F104" s="259"/>
      <c r="G104" s="259"/>
      <c r="H104" s="260"/>
      <c r="I104" s="1154"/>
      <c r="J104" s="1154"/>
      <c r="K104" s="1154"/>
      <c r="L104" s="1118"/>
      <c r="M104" s="1118"/>
    </row>
    <row r="105" spans="2:13">
      <c r="B105" s="1316" t="s">
        <v>1398</v>
      </c>
      <c r="C105" s="345" t="e">
        <f ca="1">_xll.BDP($B105,"yld cnv bid","settle dt,px bid",$D105:$E105)</f>
        <v>#NAME?</v>
      </c>
      <c r="D105" s="1306">
        <v>20151208</v>
      </c>
      <c r="E105" s="1303">
        <v>92</v>
      </c>
      <c r="H105" s="261"/>
      <c r="I105" s="1154"/>
      <c r="J105" s="1118"/>
      <c r="K105" s="1154"/>
      <c r="L105" s="1154"/>
      <c r="M105" s="1154"/>
    </row>
    <row r="106" spans="2:13">
      <c r="B106" s="1316" t="s">
        <v>1503</v>
      </c>
      <c r="C106" s="267" t="e">
        <f ca="1">_xll.BDP($B106,"yld cnv bid","settle dt,px bid",$D106:$E106)</f>
        <v>#NAME?</v>
      </c>
      <c r="D106" s="1306">
        <v>20140620</v>
      </c>
      <c r="E106" s="1303">
        <v>103</v>
      </c>
      <c r="H106" s="261"/>
      <c r="I106" s="1154"/>
      <c r="J106" s="1118"/>
      <c r="K106" s="1154"/>
      <c r="L106" s="1154"/>
      <c r="M106" s="1154"/>
    </row>
    <row r="107" spans="2:13">
      <c r="B107" s="269" t="s">
        <v>946</v>
      </c>
      <c r="C107" s="262"/>
      <c r="D107" s="253"/>
      <c r="E107" s="253"/>
      <c r="F107" s="254"/>
      <c r="G107" s="254"/>
      <c r="H107" s="255"/>
      <c r="I107" s="1154"/>
      <c r="J107" s="1118"/>
      <c r="K107" s="1154"/>
      <c r="L107" s="1154"/>
      <c r="M107" s="1154"/>
    </row>
    <row r="108" spans="2:13">
      <c r="B108" s="1104"/>
      <c r="C108" s="1105"/>
      <c r="D108" s="1099"/>
      <c r="E108" s="1099"/>
      <c r="F108" s="257"/>
      <c r="G108" s="257"/>
      <c r="H108" s="257"/>
      <c r="I108" s="1154"/>
      <c r="J108" s="1286"/>
      <c r="K108" s="1154"/>
      <c r="L108" s="1118"/>
      <c r="M108" s="1154"/>
    </row>
    <row r="109" spans="2:13">
      <c r="B109" s="264"/>
      <c r="C109" s="346" t="s">
        <v>138</v>
      </c>
      <c r="D109" s="207"/>
      <c r="E109" s="207"/>
      <c r="F109" s="299" t="s">
        <v>971</v>
      </c>
      <c r="G109" s="6"/>
      <c r="H109" s="212"/>
      <c r="I109" s="1154"/>
      <c r="J109" s="1118"/>
      <c r="K109" s="1154"/>
      <c r="L109" s="1333"/>
    </row>
    <row r="110" spans="2:13">
      <c r="B110" s="209"/>
      <c r="C110" s="115" t="s">
        <v>426</v>
      </c>
      <c r="D110" s="115" t="s">
        <v>969</v>
      </c>
      <c r="E110" s="244" t="s">
        <v>426</v>
      </c>
      <c r="F110" s="244"/>
      <c r="G110" s="244" t="s">
        <v>564</v>
      </c>
      <c r="H110" s="244"/>
      <c r="I110" s="1279"/>
      <c r="J110" s="1118"/>
      <c r="K110" s="1154"/>
      <c r="L110" s="1118"/>
      <c r="M110" s="1154"/>
    </row>
    <row r="111" spans="2:13">
      <c r="B111" s="1302" t="s">
        <v>1313</v>
      </c>
      <c r="C111" s="345" t="e">
        <f ca="1">_xll.BDP($B111,C$110,$E$110,$E111)</f>
        <v>#NAME?</v>
      </c>
      <c r="D111" s="267" t="e">
        <f ca="1">_xll.BDP($B111,D$110,$E$110,$E111)</f>
        <v>#NAME?</v>
      </c>
      <c r="E111" s="1303" t="e">
        <f ca="1">G111</f>
        <v>#NAME?</v>
      </c>
      <c r="F111" s="154"/>
      <c r="G111" s="267" t="e">
        <f ca="1">_xll.BDP($B111,G$110,"UpdateFrequency=60000")</f>
        <v>#NAME?</v>
      </c>
      <c r="H111" s="257"/>
      <c r="I111" s="1279"/>
      <c r="J111" s="1118"/>
      <c r="K111" s="1154"/>
      <c r="L111" s="1154"/>
      <c r="M111" s="1154"/>
    </row>
    <row r="112" spans="2:13">
      <c r="B112" s="1316" t="s">
        <v>1503</v>
      </c>
      <c r="C112" s="267" t="e">
        <f ca="1">_xll.BDP($B112,C$110,$E$110,$E112)</f>
        <v>#NAME?</v>
      </c>
      <c r="D112" s="267" t="e">
        <f ca="1">_xll.BDP($B112,D$110,$E$110,$E112)</f>
        <v>#NAME?</v>
      </c>
      <c r="E112" s="1303" t="e">
        <f ca="1">G112</f>
        <v>#NAME?</v>
      </c>
      <c r="F112" s="154"/>
      <c r="G112" s="267" t="e">
        <f ca="1">_xll.BDP($B112,G$110,"UpdateFrequency=60000")</f>
        <v>#NAME?</v>
      </c>
      <c r="H112" s="261"/>
      <c r="I112" s="1154"/>
      <c r="J112" s="1286"/>
      <c r="K112" s="1154"/>
      <c r="L112" s="1154"/>
      <c r="M112" s="1154"/>
    </row>
    <row r="113" spans="1:66">
      <c r="B113" s="269" t="s">
        <v>194</v>
      </c>
      <c r="C113" s="262"/>
      <c r="D113" s="253"/>
      <c r="E113" s="253"/>
      <c r="F113" s="254"/>
      <c r="G113" s="433" t="s">
        <v>195</v>
      </c>
      <c r="H113" s="255"/>
      <c r="I113" s="1154"/>
      <c r="J113" s="1286"/>
      <c r="L113" s="1154"/>
    </row>
    <row r="114" spans="1:66" s="1117" customFormat="1">
      <c r="B114" s="1284"/>
      <c r="C114" s="1285"/>
      <c r="D114" s="1276"/>
      <c r="E114" s="1276"/>
      <c r="F114" s="1277"/>
      <c r="G114" s="1277"/>
      <c r="H114" s="1277"/>
      <c r="I114" s="1154"/>
      <c r="J114" s="1154"/>
      <c r="K114" s="1154"/>
      <c r="L114" s="1154"/>
      <c r="M114" s="1154"/>
    </row>
    <row r="115" spans="1:66" s="1117" customFormat="1">
      <c r="B115" s="1154"/>
      <c r="C115" s="1154"/>
      <c r="D115" s="1154"/>
      <c r="E115" s="1154"/>
      <c r="F115" s="1154"/>
      <c r="G115" s="1154"/>
      <c r="H115" s="1154"/>
      <c r="I115" s="1154"/>
      <c r="J115" s="1154"/>
      <c r="K115" s="1154"/>
      <c r="L115" s="1154"/>
      <c r="M115" s="1206"/>
    </row>
    <row r="116" spans="1:66" ht="21">
      <c r="B116" s="1015" t="s">
        <v>196</v>
      </c>
      <c r="C116" s="154"/>
      <c r="D116" s="154"/>
      <c r="E116" s="154"/>
      <c r="F116" s="154"/>
      <c r="G116" s="154"/>
      <c r="H116" s="154"/>
      <c r="I116" s="154"/>
      <c r="J116" s="154"/>
      <c r="K116" s="1154"/>
      <c r="L116" s="1208"/>
      <c r="M116" s="1154"/>
    </row>
    <row r="117" spans="1:66">
      <c r="B117" s="774" t="s">
        <v>1409</v>
      </c>
      <c r="C117" s="704"/>
      <c r="D117" s="782" t="s">
        <v>139</v>
      </c>
      <c r="E117" s="207"/>
      <c r="F117" s="233"/>
      <c r="G117" s="233"/>
      <c r="H117" s="233"/>
      <c r="I117" s="233"/>
      <c r="J117" s="265" t="s">
        <v>899</v>
      </c>
      <c r="K117" s="1261" t="s">
        <v>899</v>
      </c>
      <c r="L117" s="1274"/>
      <c r="M117" s="1154"/>
    </row>
    <row r="118" spans="1:66">
      <c r="B118" s="775"/>
      <c r="C118" s="239" t="s">
        <v>900</v>
      </c>
      <c r="D118" s="239" t="s">
        <v>901</v>
      </c>
      <c r="E118" s="239" t="s">
        <v>902</v>
      </c>
      <c r="F118" s="244" t="s">
        <v>903</v>
      </c>
      <c r="G118" s="243" t="s">
        <v>904</v>
      </c>
      <c r="H118" s="244" t="s">
        <v>905</v>
      </c>
      <c r="I118" s="244" t="s">
        <v>906</v>
      </c>
      <c r="J118" s="266" t="s">
        <v>907</v>
      </c>
      <c r="K118" s="1287" t="s">
        <v>898</v>
      </c>
      <c r="L118" s="1273"/>
      <c r="M118" s="1154"/>
    </row>
    <row r="119" spans="1:66">
      <c r="B119" s="1316" t="s">
        <v>1763</v>
      </c>
      <c r="C119" s="348" t="e">
        <f ca="1">_xll.BDP($B119,C$118,$F$118:$K$118,$F119:$K119)</f>
        <v>#NAME?</v>
      </c>
      <c r="D119" s="274" t="e">
        <f ca="1">_xll.BDP($B119,D$118,$F$118:$K$118,$F119:$K119)</f>
        <v>#NAME?</v>
      </c>
      <c r="E119" s="274" t="e">
        <f ca="1">_xll.BDP($B119,E$118,$F$118:$K$118,$F119:$K119)</f>
        <v>#NAME?</v>
      </c>
      <c r="F119" s="1308" t="s">
        <v>908</v>
      </c>
      <c r="G119" s="1308" t="s">
        <v>908</v>
      </c>
      <c r="H119" s="1308" t="s">
        <v>908</v>
      </c>
      <c r="I119" s="1320" t="s">
        <v>908</v>
      </c>
      <c r="J119" s="1306">
        <v>20150210</v>
      </c>
      <c r="K119" s="1306">
        <f>J119</f>
        <v>20150210</v>
      </c>
      <c r="L119" s="1273"/>
      <c r="M119" s="1154"/>
    </row>
    <row r="120" spans="1:66">
      <c r="B120" s="1316" t="s">
        <v>1766</v>
      </c>
      <c r="C120" s="274" t="e">
        <f ca="1">_xll.BDP($B120,C$118,$F$118:$K$118,$F120:$K120)</f>
        <v>#NAME?</v>
      </c>
      <c r="D120" s="274" t="e">
        <f ca="1">_xll.BDP($B120,D$118,$F$118:$K$118,$F120:$K120)</f>
        <v>#NAME?</v>
      </c>
      <c r="E120" s="274" t="e">
        <f ca="1">_xll.BDP($B120,E$118,$F$118:$K$118,$F120:$K120)</f>
        <v>#NAME?</v>
      </c>
      <c r="F120" s="1308" t="s">
        <v>909</v>
      </c>
      <c r="G120" s="1321" t="str">
        <f>IF(F120="","",F120)</f>
        <v>-</v>
      </c>
      <c r="H120" s="1321" t="str">
        <f>IF(G120="","",G120)</f>
        <v>-</v>
      </c>
      <c r="I120" s="1321" t="str">
        <f>IF(H120="","",H120)</f>
        <v>-</v>
      </c>
      <c r="J120" s="270" t="str">
        <f>TEXT(L120,"YYYYMMDD")</f>
        <v>20150130</v>
      </c>
      <c r="K120" s="1283" t="str">
        <f>J120</f>
        <v>20150130</v>
      </c>
      <c r="L120" s="1318">
        <v>42034</v>
      </c>
      <c r="M120" s="1154"/>
    </row>
    <row r="121" spans="1:66" s="1106" customFormat="1">
      <c r="A121" s="1290"/>
      <c r="B121" s="861" t="s">
        <v>1779</v>
      </c>
      <c r="C121" s="862"/>
      <c r="D121" s="863"/>
      <c r="E121" s="863"/>
      <c r="F121" s="864"/>
      <c r="G121" s="865"/>
      <c r="H121" s="865"/>
      <c r="I121" s="866"/>
      <c r="J121" s="866"/>
      <c r="K121" s="1288"/>
      <c r="L121" s="1289"/>
      <c r="M121" s="1290"/>
      <c r="N121" s="1290"/>
      <c r="O121" s="1290"/>
      <c r="P121" s="1290"/>
      <c r="Q121" s="1290"/>
      <c r="R121" s="1290"/>
      <c r="S121" s="1290"/>
      <c r="T121" s="1290"/>
      <c r="U121" s="1290"/>
      <c r="V121" s="1290"/>
      <c r="W121" s="1290"/>
      <c r="X121" s="1290"/>
      <c r="Y121" s="1290"/>
      <c r="Z121" s="1290"/>
      <c r="AA121" s="1290"/>
      <c r="AB121" s="1290"/>
      <c r="AC121" s="1290"/>
      <c r="AD121" s="1290"/>
      <c r="AE121" s="1290"/>
      <c r="AF121" s="1290"/>
      <c r="AG121" s="1290"/>
      <c r="AH121" s="1290"/>
      <c r="AI121" s="1290"/>
      <c r="AJ121" s="1290"/>
      <c r="AK121" s="1290"/>
      <c r="AL121" s="1290"/>
      <c r="AM121" s="1290"/>
      <c r="AN121" s="1290"/>
      <c r="AO121" s="1290"/>
      <c r="AP121" s="1290"/>
      <c r="AQ121" s="1290"/>
      <c r="AR121" s="1290"/>
      <c r="AS121" s="1290"/>
      <c r="AT121" s="1290"/>
      <c r="AU121" s="1290"/>
      <c r="AV121" s="1290"/>
      <c r="AW121" s="1290"/>
      <c r="AX121" s="1290"/>
      <c r="AY121" s="1290"/>
      <c r="AZ121" s="1290"/>
      <c r="BA121" s="1290"/>
      <c r="BB121" s="1290"/>
      <c r="BC121" s="1290"/>
      <c r="BD121" s="1290"/>
      <c r="BE121" s="1290"/>
      <c r="BF121" s="1290"/>
      <c r="BG121" s="1290"/>
      <c r="BH121" s="1290"/>
      <c r="BI121" s="1290"/>
      <c r="BJ121" s="1290"/>
      <c r="BK121" s="1290"/>
      <c r="BL121" s="1290"/>
      <c r="BM121" s="1290"/>
      <c r="BN121" s="1290"/>
    </row>
    <row r="122" spans="1:66" s="1154" customFormat="1" ht="93" customHeight="1">
      <c r="C122" s="1291"/>
      <c r="D122" s="1292"/>
      <c r="E122" s="1291"/>
      <c r="F122" s="1291"/>
      <c r="G122" s="1291"/>
      <c r="H122" s="1291"/>
      <c r="I122" s="1291"/>
      <c r="J122" s="1291"/>
      <c r="K122" s="1291"/>
      <c r="L122" s="1291"/>
      <c r="M122" s="1291"/>
      <c r="N122" s="1291"/>
      <c r="O122" s="1291"/>
      <c r="P122" s="1291"/>
    </row>
    <row r="123" spans="1:66" s="154" customFormat="1">
      <c r="A123" s="1154"/>
      <c r="B123" s="1310"/>
      <c r="C123" s="1310"/>
      <c r="D123" s="1311"/>
      <c r="E123" s="1312"/>
      <c r="F123" s="1312"/>
      <c r="G123" s="1310"/>
      <c r="H123" s="1310"/>
      <c r="I123" s="1310"/>
      <c r="J123" s="1310"/>
      <c r="K123" s="1310"/>
      <c r="L123" s="1310"/>
      <c r="M123" s="1310"/>
      <c r="N123" s="1310"/>
      <c r="O123" s="1310"/>
      <c r="P123" s="1310"/>
      <c r="Q123" s="1154"/>
      <c r="R123" s="1154"/>
      <c r="S123" s="1154"/>
      <c r="T123" s="1154"/>
      <c r="U123" s="1154"/>
      <c r="V123" s="1154"/>
      <c r="W123" s="1154"/>
      <c r="X123" s="1154"/>
      <c r="Y123" s="1154"/>
      <c r="Z123" s="1154"/>
      <c r="AA123" s="1154"/>
      <c r="AB123" s="1154"/>
      <c r="AC123" s="1154"/>
      <c r="AD123" s="1154"/>
      <c r="AE123" s="1154"/>
      <c r="AF123" s="1154"/>
      <c r="AG123" s="1154"/>
      <c r="AH123" s="1154"/>
      <c r="AI123" s="1154"/>
      <c r="AJ123" s="1154"/>
      <c r="AK123" s="1154"/>
      <c r="AL123" s="1154"/>
      <c r="AM123" s="1154"/>
      <c r="AN123" s="1154"/>
      <c r="AO123" s="1154"/>
      <c r="AP123" s="1154"/>
      <c r="AQ123" s="1154"/>
      <c r="AR123" s="1154"/>
      <c r="AS123" s="1154"/>
      <c r="AT123" s="1154"/>
      <c r="AU123" s="1154"/>
      <c r="AV123" s="1154"/>
      <c r="AW123" s="1154"/>
      <c r="AX123" s="1154"/>
      <c r="AY123" s="1154"/>
      <c r="AZ123" s="1154"/>
      <c r="BA123" s="1154"/>
      <c r="BB123" s="1154"/>
      <c r="BC123" s="1154"/>
      <c r="BD123" s="1154"/>
      <c r="BE123" s="1154"/>
      <c r="BF123" s="1154"/>
      <c r="BG123" s="1154"/>
      <c r="BH123" s="1154"/>
      <c r="BI123" s="1154"/>
      <c r="BJ123" s="1154"/>
      <c r="BK123" s="1154"/>
      <c r="BL123" s="1154"/>
      <c r="BM123" s="1154"/>
      <c r="BN123" s="1154"/>
    </row>
    <row r="124" spans="1:66" s="154" customFormat="1">
      <c r="A124" s="1154"/>
      <c r="B124" s="363"/>
      <c r="C124" s="22"/>
      <c r="D124" s="366" t="s">
        <v>142</v>
      </c>
      <c r="E124" s="356"/>
      <c r="F124" s="356"/>
      <c r="G124" s="22"/>
      <c r="H124" s="22"/>
      <c r="I124" s="22"/>
      <c r="J124" s="22"/>
      <c r="K124" s="22"/>
      <c r="L124" s="22"/>
      <c r="M124" s="22"/>
      <c r="N124" s="22"/>
      <c r="O124" s="22"/>
      <c r="P124" s="189"/>
      <c r="Q124" s="1154"/>
      <c r="R124" s="1154"/>
      <c r="S124" s="1154"/>
      <c r="T124" s="1154"/>
      <c r="U124" s="1154"/>
      <c r="V124" s="1154"/>
      <c r="W124" s="1154"/>
      <c r="X124" s="1154"/>
      <c r="Y124" s="1154"/>
      <c r="Z124" s="1154"/>
      <c r="AA124" s="1154"/>
      <c r="AB124" s="1154"/>
      <c r="AC124" s="1154"/>
      <c r="AD124" s="1154"/>
      <c r="AE124" s="1154"/>
      <c r="AF124" s="1154"/>
      <c r="AG124" s="1154"/>
      <c r="AH124" s="1154"/>
      <c r="AI124" s="1154"/>
      <c r="AJ124" s="1154"/>
      <c r="AK124" s="1154"/>
      <c r="AL124" s="1154"/>
      <c r="AM124" s="1154"/>
      <c r="AN124" s="1154"/>
      <c r="AO124" s="1154"/>
      <c r="AP124" s="1154"/>
      <c r="AQ124" s="1154"/>
      <c r="AR124" s="1154"/>
      <c r="AS124" s="1154"/>
      <c r="AT124" s="1154"/>
      <c r="AU124" s="1154"/>
      <c r="AV124" s="1154"/>
      <c r="AW124" s="1154"/>
      <c r="AX124" s="1154"/>
      <c r="AY124" s="1154"/>
      <c r="AZ124" s="1154"/>
      <c r="BA124" s="1154"/>
      <c r="BB124" s="1154"/>
      <c r="BC124" s="1154"/>
      <c r="BD124" s="1154"/>
      <c r="BE124" s="1154"/>
      <c r="BF124" s="1154"/>
      <c r="BG124" s="1154"/>
      <c r="BH124" s="1154"/>
      <c r="BI124" s="1154"/>
      <c r="BJ124" s="1154"/>
      <c r="BK124" s="1154"/>
      <c r="BL124" s="1154"/>
      <c r="BM124" s="1154"/>
      <c r="BN124" s="1154"/>
    </row>
    <row r="125" spans="1:66" s="154" customFormat="1" ht="30">
      <c r="A125" s="1154"/>
      <c r="B125" s="361" t="s">
        <v>4</v>
      </c>
      <c r="C125" s="1160" t="s">
        <v>1778</v>
      </c>
      <c r="D125" s="358" t="s">
        <v>5</v>
      </c>
      <c r="E125" s="357" t="s">
        <v>6</v>
      </c>
      <c r="F125" s="357" t="s">
        <v>7</v>
      </c>
      <c r="G125" s="580" t="s">
        <v>8</v>
      </c>
      <c r="H125" s="1160" t="s">
        <v>494</v>
      </c>
      <c r="I125" s="357" t="s">
        <v>608</v>
      </c>
      <c r="J125" s="357" t="s">
        <v>9</v>
      </c>
      <c r="K125" s="357" t="s">
        <v>7</v>
      </c>
      <c r="L125" s="357" t="s">
        <v>10</v>
      </c>
      <c r="M125" s="357" t="s">
        <v>11</v>
      </c>
      <c r="N125" s="357" t="s">
        <v>494</v>
      </c>
      <c r="O125" s="357" t="s">
        <v>12</v>
      </c>
      <c r="P125" s="362" t="s">
        <v>494</v>
      </c>
      <c r="Q125" s="1154"/>
      <c r="R125" s="1154"/>
      <c r="S125" s="1154"/>
      <c r="T125" s="1154"/>
      <c r="U125" s="1154"/>
      <c r="V125" s="1154"/>
      <c r="W125" s="1154"/>
      <c r="X125" s="1154"/>
      <c r="Y125" s="1154"/>
      <c r="Z125" s="1154"/>
      <c r="AA125" s="1154"/>
      <c r="AB125" s="1154"/>
      <c r="AC125" s="1154"/>
      <c r="AD125" s="1154"/>
      <c r="AE125" s="1154"/>
      <c r="AF125" s="1154"/>
      <c r="AG125" s="1154"/>
      <c r="AH125" s="1154"/>
      <c r="AI125" s="1154"/>
      <c r="AJ125" s="1154"/>
      <c r="AK125" s="1154"/>
      <c r="AL125" s="1154"/>
      <c r="AM125" s="1154"/>
      <c r="AN125" s="1154"/>
      <c r="AO125" s="1154"/>
      <c r="AP125" s="1154"/>
      <c r="AQ125" s="1154"/>
      <c r="AR125" s="1154"/>
      <c r="AS125" s="1154"/>
      <c r="AT125" s="1154"/>
      <c r="AU125" s="1154"/>
      <c r="AV125" s="1154"/>
      <c r="AW125" s="1154"/>
      <c r="AX125" s="1154"/>
      <c r="AY125" s="1154"/>
      <c r="AZ125" s="1154"/>
      <c r="BA125" s="1154"/>
      <c r="BB125" s="1154"/>
      <c r="BC125" s="1154"/>
      <c r="BD125" s="1154"/>
      <c r="BE125" s="1154"/>
      <c r="BF125" s="1154"/>
      <c r="BG125" s="1154"/>
      <c r="BH125" s="1154"/>
      <c r="BI125" s="1154"/>
      <c r="BJ125" s="1154"/>
      <c r="BK125" s="1154"/>
      <c r="BL125" s="1154"/>
      <c r="BM125" s="1154"/>
      <c r="BN125" s="1154"/>
    </row>
    <row r="126" spans="1:66" s="154" customFormat="1">
      <c r="A126" s="1154"/>
      <c r="B126" s="1297" t="s">
        <v>13</v>
      </c>
      <c r="C126" s="1300" t="s">
        <v>14</v>
      </c>
      <c r="D126" s="365" t="e">
        <f ca="1">_xll.BDP($B126,D$125,$L$125:$P$125,$L126:$P126)</f>
        <v>#NAME?</v>
      </c>
      <c r="E126" s="355" t="e">
        <f ca="1">_xll.BDP($B126,E$125,$L$125:$P$125,$L126:$P126)</f>
        <v>#NAME?</v>
      </c>
      <c r="F126" s="355" t="e">
        <f ca="1">_xll.BDP($B126,F$125,$L$125:$P$125,$L126:$P126)</f>
        <v>#NAME?</v>
      </c>
      <c r="G126" s="355" t="e">
        <f ca="1">_xll.BDP($B126,G$125,$L$125:$P$125,$L126:$P126)</f>
        <v>#NAME?</v>
      </c>
      <c r="H126" s="355" t="e">
        <f ca="1">_xll.BDP($B126,H$125,$L$125:$P$125,$L126:$P126)</f>
        <v>#NAME?</v>
      </c>
      <c r="I126" s="355" t="e">
        <f ca="1">_xll.BDP($B126,I$125,$L$125:$P$125,$L126:$P126)</f>
        <v>#NAME?</v>
      </c>
      <c r="J126" s="1298">
        <v>20</v>
      </c>
      <c r="K126" s="1300">
        <v>300</v>
      </c>
      <c r="L126" s="1300">
        <f>100-J126</f>
        <v>80</v>
      </c>
      <c r="M126" s="1301">
        <v>10000000</v>
      </c>
      <c r="N126" s="1300" t="str">
        <f>IF(P126="","",TEXT(P126,"yyyymmdd"))</f>
        <v>20180625</v>
      </c>
      <c r="O126" s="1298">
        <v>0.2</v>
      </c>
      <c r="P126" s="1299">
        <v>43276</v>
      </c>
      <c r="Q126" s="1154"/>
      <c r="R126" s="1154"/>
      <c r="S126" s="1154"/>
      <c r="T126" s="1154"/>
      <c r="U126" s="1154"/>
      <c r="V126" s="1154"/>
      <c r="W126" s="1154"/>
      <c r="X126" s="1154"/>
      <c r="Y126" s="1154"/>
      <c r="Z126" s="1154"/>
      <c r="AA126" s="1154"/>
      <c r="AB126" s="1154"/>
      <c r="AC126" s="1154"/>
      <c r="AD126" s="1154"/>
      <c r="AE126" s="1154"/>
      <c r="AF126" s="1154"/>
      <c r="AG126" s="1154"/>
      <c r="AH126" s="1154"/>
      <c r="AI126" s="1154"/>
      <c r="AJ126" s="1154"/>
      <c r="AK126" s="1154"/>
      <c r="AL126" s="1154"/>
      <c r="AM126" s="1154"/>
      <c r="AN126" s="1154"/>
      <c r="AO126" s="1154"/>
      <c r="AP126" s="1154"/>
      <c r="AQ126" s="1154"/>
      <c r="AR126" s="1154"/>
      <c r="AS126" s="1154"/>
      <c r="AT126" s="1154"/>
      <c r="AU126" s="1154"/>
      <c r="AV126" s="1154"/>
      <c r="AW126" s="1154"/>
      <c r="AX126" s="1154"/>
      <c r="AY126" s="1154"/>
      <c r="AZ126" s="1154"/>
      <c r="BA126" s="1154"/>
      <c r="BB126" s="1154"/>
      <c r="BC126" s="1154"/>
      <c r="BD126" s="1154"/>
      <c r="BE126" s="1154"/>
      <c r="BF126" s="1154"/>
      <c r="BG126" s="1154"/>
      <c r="BH126" s="1154"/>
      <c r="BI126" s="1154"/>
      <c r="BJ126" s="1154"/>
      <c r="BK126" s="1154"/>
      <c r="BL126" s="1154"/>
      <c r="BM126" s="1154"/>
      <c r="BN126" s="1154"/>
    </row>
    <row r="127" spans="1:66" s="154" customFormat="1">
      <c r="A127" s="1154"/>
      <c r="B127" s="1297" t="str">
        <f>$B$126</f>
        <v>SPX830BH Corp</v>
      </c>
      <c r="C127" s="1300" t="s">
        <v>15</v>
      </c>
      <c r="D127" s="355" t="e">
        <f ca="1">_xll.BDP($B127,D$125,$L$125:$P$125,$L127:$P127)</f>
        <v>#NAME?</v>
      </c>
      <c r="E127" s="355" t="e">
        <f ca="1">_xll.BDP($B127,E$125,$L$125:$P$125,$L127:$P127)</f>
        <v>#NAME?</v>
      </c>
      <c r="F127" s="355" t="e">
        <f ca="1">_xll.BDP($B127,F$125,$L$125:$P$125,$L127:$P127)</f>
        <v>#NAME?</v>
      </c>
      <c r="G127" s="355" t="e">
        <f ca="1">_xll.BDP($B127,G$125,$L$125:$P$125,$L127:$P127)</f>
        <v>#NAME?</v>
      </c>
      <c r="H127" s="355" t="e">
        <f ca="1">_xll.BDP($B127,H$125,$L$125:$P$125,$L127:$P127)</f>
        <v>#NAME?</v>
      </c>
      <c r="I127" s="355" t="e">
        <f ca="1">_xll.BDP($B127,I$125,$L$125:$P$125,$L127:$P127)</f>
        <v>#NAME?</v>
      </c>
      <c r="J127" s="1298">
        <v>10.5</v>
      </c>
      <c r="K127" s="1300">
        <v>100</v>
      </c>
      <c r="L127" s="1300">
        <f>100-J127</f>
        <v>89.5</v>
      </c>
      <c r="M127" s="1301">
        <v>25000000</v>
      </c>
      <c r="N127" s="1300" t="str">
        <f>IF(P127="","",TEXT(P127,"yyyymmdd"))</f>
        <v>20191222</v>
      </c>
      <c r="O127" s="1298">
        <v>0.4</v>
      </c>
      <c r="P127" s="1299">
        <v>43821</v>
      </c>
      <c r="Q127" s="1154"/>
      <c r="R127" s="1154"/>
      <c r="S127" s="1154"/>
      <c r="T127" s="1154"/>
      <c r="U127" s="1154"/>
      <c r="V127" s="1154"/>
      <c r="W127" s="1154"/>
      <c r="X127" s="1154"/>
      <c r="Y127" s="1154"/>
      <c r="Z127" s="1154"/>
      <c r="AA127" s="1154"/>
      <c r="AB127" s="1154"/>
      <c r="AC127" s="1154"/>
      <c r="AD127" s="1154"/>
      <c r="AE127" s="1154"/>
      <c r="AF127" s="1154"/>
      <c r="AG127" s="1154"/>
      <c r="AH127" s="1154"/>
      <c r="AI127" s="1154"/>
      <c r="AJ127" s="1154"/>
      <c r="AK127" s="1154"/>
      <c r="AL127" s="1154"/>
      <c r="AM127" s="1154"/>
      <c r="AN127" s="1154"/>
      <c r="AO127" s="1154"/>
      <c r="AP127" s="1154"/>
      <c r="AQ127" s="1154"/>
      <c r="AR127" s="1154"/>
      <c r="AS127" s="1154"/>
      <c r="AT127" s="1154"/>
      <c r="AU127" s="1154"/>
      <c r="AV127" s="1154"/>
      <c r="AW127" s="1154"/>
      <c r="AX127" s="1154"/>
      <c r="AY127" s="1154"/>
      <c r="AZ127" s="1154"/>
      <c r="BA127" s="1154"/>
      <c r="BB127" s="1154"/>
      <c r="BC127" s="1154"/>
      <c r="BD127" s="1154"/>
      <c r="BE127" s="1154"/>
      <c r="BF127" s="1154"/>
      <c r="BG127" s="1154"/>
      <c r="BH127" s="1154"/>
      <c r="BI127" s="1154"/>
      <c r="BJ127" s="1154"/>
      <c r="BK127" s="1154"/>
      <c r="BL127" s="1154"/>
      <c r="BM127" s="1154"/>
      <c r="BN127" s="1154"/>
    </row>
    <row r="128" spans="1:66" s="154" customFormat="1">
      <c r="A128" s="1154"/>
      <c r="B128" s="1297" t="str">
        <f>$B$126</f>
        <v>SPX830BH Corp</v>
      </c>
      <c r="C128" s="1300" t="s">
        <v>16</v>
      </c>
      <c r="D128" s="355" t="e">
        <f ca="1">_xll.BDP($B128,D$125,$L$125:$P$125,$L128:$P128)</f>
        <v>#NAME?</v>
      </c>
      <c r="E128" s="355" t="e">
        <f ca="1">_xll.BDP($B128,E$125,$L$125:$P$125,$L128:$P128)</f>
        <v>#NAME?</v>
      </c>
      <c r="F128" s="355" t="e">
        <f ca="1">_xll.BDP($B128,F$125,$L$125:$P$125,$L128:$P128)</f>
        <v>#NAME?</v>
      </c>
      <c r="G128" s="355" t="e">
        <f ca="1">_xll.BDP($B128,G$125,$L$125:$P$125,$L128:$P128)</f>
        <v>#NAME?</v>
      </c>
      <c r="H128" s="355" t="e">
        <f ca="1">_xll.BDP($B128,H$125,$L$125:$P$125,$L128:$P128)</f>
        <v>#NAME?</v>
      </c>
      <c r="I128" s="355" t="e">
        <f ca="1">_xll.BDP($B128,I$125,$L$125:$P$125,$L128:$P128)</f>
        <v>#NAME?</v>
      </c>
      <c r="J128" s="1298">
        <v>10.5</v>
      </c>
      <c r="K128" s="1300">
        <v>500</v>
      </c>
      <c r="L128" s="1300">
        <f>100-J128</f>
        <v>89.5</v>
      </c>
      <c r="M128" s="1301">
        <v>18000000</v>
      </c>
      <c r="N128" s="1300" t="str">
        <f>IF(P128="","",TEXT(P128,"yyyymmdd"))</f>
        <v>20200920</v>
      </c>
      <c r="O128" s="1298">
        <v>1.0000000000000001E-5</v>
      </c>
      <c r="P128" s="1299">
        <v>44094</v>
      </c>
      <c r="Q128" s="1154"/>
      <c r="R128" s="1154"/>
      <c r="S128" s="1154"/>
      <c r="T128" s="1154"/>
      <c r="U128" s="1154"/>
      <c r="V128" s="1154"/>
      <c r="W128" s="1154"/>
      <c r="X128" s="1154"/>
      <c r="Y128" s="1154"/>
      <c r="Z128" s="1154"/>
      <c r="AA128" s="1154"/>
      <c r="AB128" s="1154"/>
      <c r="AC128" s="1154"/>
      <c r="AD128" s="1154"/>
      <c r="AE128" s="1154"/>
      <c r="AF128" s="1154"/>
      <c r="AG128" s="1154"/>
      <c r="AH128" s="1154"/>
      <c r="AI128" s="1154"/>
      <c r="AJ128" s="1154"/>
      <c r="AK128" s="1154"/>
      <c r="AL128" s="1154"/>
      <c r="AM128" s="1154"/>
      <c r="AN128" s="1154"/>
      <c r="AO128" s="1154"/>
      <c r="AP128" s="1154"/>
      <c r="AQ128" s="1154"/>
      <c r="AR128" s="1154"/>
      <c r="AS128" s="1154"/>
      <c r="AT128" s="1154"/>
      <c r="AU128" s="1154"/>
      <c r="AV128" s="1154"/>
      <c r="AW128" s="1154"/>
      <c r="AX128" s="1154"/>
      <c r="AY128" s="1154"/>
      <c r="AZ128" s="1154"/>
      <c r="BA128" s="1154"/>
      <c r="BB128" s="1154"/>
      <c r="BC128" s="1154"/>
      <c r="BD128" s="1154"/>
      <c r="BE128" s="1154"/>
      <c r="BF128" s="1154"/>
      <c r="BG128" s="1154"/>
      <c r="BH128" s="1154"/>
      <c r="BI128" s="1154"/>
      <c r="BJ128" s="1154"/>
      <c r="BK128" s="1154"/>
      <c r="BL128" s="1154"/>
      <c r="BM128" s="1154"/>
      <c r="BN128" s="1154"/>
    </row>
    <row r="129" spans="1:66" s="1106" customFormat="1">
      <c r="A129" s="1290"/>
      <c r="B129" s="861" t="s">
        <v>1780</v>
      </c>
      <c r="C129" s="867"/>
      <c r="D129" s="868"/>
      <c r="E129" s="868"/>
      <c r="F129" s="868"/>
      <c r="G129" s="868"/>
      <c r="H129" s="868"/>
      <c r="I129" s="868"/>
      <c r="J129" s="869"/>
      <c r="K129" s="870"/>
      <c r="L129" s="870"/>
      <c r="M129" s="868"/>
      <c r="N129" s="870"/>
      <c r="O129" s="869"/>
      <c r="P129" s="871"/>
      <c r="Q129" s="1290"/>
      <c r="R129" s="1290"/>
      <c r="S129" s="1290"/>
      <c r="T129" s="1290"/>
      <c r="U129" s="1290"/>
      <c r="V129" s="1290"/>
      <c r="W129" s="1290"/>
      <c r="X129" s="1290"/>
      <c r="Y129" s="1290"/>
      <c r="Z129" s="1290"/>
      <c r="AA129" s="1290"/>
      <c r="AB129" s="1290"/>
      <c r="AC129" s="1290"/>
      <c r="AD129" s="1290"/>
      <c r="AE129" s="1290"/>
      <c r="AF129" s="1290"/>
      <c r="AG129" s="1290"/>
      <c r="AH129" s="1290"/>
      <c r="AI129" s="1290"/>
      <c r="AJ129" s="1290"/>
      <c r="AK129" s="1290"/>
      <c r="AL129" s="1290"/>
      <c r="AM129" s="1290"/>
      <c r="AN129" s="1290"/>
      <c r="AO129" s="1290"/>
      <c r="AP129" s="1290"/>
      <c r="AQ129" s="1290"/>
      <c r="AR129" s="1290"/>
      <c r="AS129" s="1290"/>
      <c r="AT129" s="1290"/>
      <c r="AU129" s="1290"/>
      <c r="AV129" s="1290"/>
      <c r="AW129" s="1290"/>
      <c r="AX129" s="1290"/>
      <c r="AY129" s="1290"/>
      <c r="AZ129" s="1290"/>
      <c r="BA129" s="1290"/>
      <c r="BB129" s="1290"/>
      <c r="BC129" s="1290"/>
      <c r="BD129" s="1290"/>
      <c r="BE129" s="1290"/>
      <c r="BF129" s="1290"/>
      <c r="BG129" s="1290"/>
      <c r="BH129" s="1290"/>
      <c r="BI129" s="1290"/>
      <c r="BJ129" s="1290"/>
      <c r="BK129" s="1290"/>
      <c r="BL129" s="1290"/>
      <c r="BM129" s="1290"/>
      <c r="BN129" s="1290"/>
    </row>
    <row r="130" spans="1:66" s="154" customFormat="1">
      <c r="A130" s="1154"/>
      <c r="B130" s="363"/>
      <c r="C130" s="22"/>
      <c r="D130" s="355"/>
      <c r="E130" s="22"/>
      <c r="F130" s="22"/>
      <c r="G130" s="359"/>
      <c r="H130" s="22"/>
      <c r="I130" s="22"/>
      <c r="J130" s="22"/>
      <c r="K130" s="22"/>
      <c r="L130" s="22"/>
      <c r="M130" s="22"/>
      <c r="N130" s="22"/>
      <c r="O130" s="22"/>
      <c r="P130" s="189"/>
      <c r="Q130" s="1154"/>
      <c r="R130" s="1154"/>
      <c r="S130" s="1154"/>
      <c r="T130" s="1154"/>
      <c r="U130" s="1154"/>
      <c r="V130" s="1154"/>
      <c r="W130" s="1154"/>
      <c r="X130" s="1154"/>
      <c r="Y130" s="1154"/>
      <c r="Z130" s="1154"/>
      <c r="AA130" s="1154"/>
      <c r="AB130" s="1154"/>
      <c r="AC130" s="1154"/>
      <c r="AD130" s="1154"/>
      <c r="AE130" s="1154"/>
      <c r="AF130" s="1154"/>
      <c r="AG130" s="1154"/>
      <c r="AH130" s="1154"/>
      <c r="AI130" s="1154"/>
      <c r="AJ130" s="1154"/>
      <c r="AK130" s="1154"/>
      <c r="AL130" s="1154"/>
      <c r="AM130" s="1154"/>
      <c r="AN130" s="1154"/>
      <c r="AO130" s="1154"/>
      <c r="AP130" s="1154"/>
      <c r="AQ130" s="1154"/>
      <c r="AR130" s="1154"/>
      <c r="AS130" s="1154"/>
      <c r="AT130" s="1154"/>
      <c r="AU130" s="1154"/>
      <c r="AV130" s="1154"/>
      <c r="AW130" s="1154"/>
      <c r="AX130" s="1154"/>
      <c r="AY130" s="1154"/>
      <c r="AZ130" s="1154"/>
      <c r="BA130" s="1154"/>
      <c r="BB130" s="1154"/>
      <c r="BC130" s="1154"/>
      <c r="BD130" s="1154"/>
      <c r="BE130" s="1154"/>
      <c r="BF130" s="1154"/>
      <c r="BG130" s="1154"/>
      <c r="BH130" s="1154"/>
      <c r="BI130" s="1154"/>
      <c r="BJ130" s="1154"/>
      <c r="BK130" s="1154"/>
      <c r="BL130" s="1154"/>
      <c r="BM130" s="1154"/>
      <c r="BN130" s="1154"/>
    </row>
    <row r="131" spans="1:66" s="154" customFormat="1">
      <c r="A131" s="1154"/>
      <c r="B131" s="363"/>
      <c r="C131" s="22"/>
      <c r="D131" s="366" t="s">
        <v>143</v>
      </c>
      <c r="E131" s="22"/>
      <c r="F131" s="22"/>
      <c r="G131" s="359"/>
      <c r="H131" s="22"/>
      <c r="I131" s="22"/>
      <c r="J131" s="22"/>
      <c r="K131" s="22"/>
      <c r="L131" s="22"/>
      <c r="M131" s="22"/>
      <c r="N131" s="22"/>
      <c r="O131" s="22"/>
      <c r="P131" s="189"/>
      <c r="Q131" s="1154"/>
      <c r="R131" s="1154"/>
      <c r="S131" s="1154"/>
      <c r="T131" s="1154"/>
      <c r="U131" s="1154"/>
      <c r="V131" s="1154"/>
      <c r="W131" s="1154"/>
      <c r="X131" s="1154"/>
      <c r="Y131" s="1154"/>
      <c r="Z131" s="1154"/>
      <c r="AA131" s="1154"/>
      <c r="AB131" s="1154"/>
      <c r="AC131" s="1154"/>
      <c r="AD131" s="1154"/>
      <c r="AE131" s="1154"/>
      <c r="AF131" s="1154"/>
      <c r="AG131" s="1154"/>
      <c r="AH131" s="1154"/>
      <c r="AI131" s="1154"/>
      <c r="AJ131" s="1154"/>
      <c r="AK131" s="1154"/>
      <c r="AL131" s="1154"/>
      <c r="AM131" s="1154"/>
      <c r="AN131" s="1154"/>
      <c r="AO131" s="1154"/>
      <c r="AP131" s="1154"/>
      <c r="AQ131" s="1154"/>
      <c r="AR131" s="1154"/>
      <c r="AS131" s="1154"/>
      <c r="AT131" s="1154"/>
      <c r="AU131" s="1154"/>
      <c r="AV131" s="1154"/>
      <c r="AW131" s="1154"/>
      <c r="AX131" s="1154"/>
      <c r="AY131" s="1154"/>
      <c r="AZ131" s="1154"/>
      <c r="BA131" s="1154"/>
      <c r="BB131" s="1154"/>
      <c r="BC131" s="1154"/>
      <c r="BD131" s="1154"/>
      <c r="BE131" s="1154"/>
      <c r="BF131" s="1154"/>
      <c r="BG131" s="1154"/>
      <c r="BH131" s="1154"/>
      <c r="BI131" s="1154"/>
      <c r="BJ131" s="1154"/>
      <c r="BK131" s="1154"/>
      <c r="BL131" s="1154"/>
      <c r="BM131" s="1154"/>
      <c r="BN131" s="1154"/>
    </row>
    <row r="132" spans="1:66" s="154" customFormat="1" ht="30">
      <c r="A132" s="1154"/>
      <c r="B132" s="361" t="s">
        <v>17</v>
      </c>
      <c r="C132" s="1160" t="s">
        <v>1778</v>
      </c>
      <c r="D132" s="358" t="s">
        <v>5</v>
      </c>
      <c r="E132" s="357" t="s">
        <v>6</v>
      </c>
      <c r="F132" s="357" t="s">
        <v>7</v>
      </c>
      <c r="G132" s="580" t="s">
        <v>8</v>
      </c>
      <c r="H132" s="357" t="s">
        <v>494</v>
      </c>
      <c r="I132" s="357" t="s">
        <v>608</v>
      </c>
      <c r="J132" s="357" t="s">
        <v>9</v>
      </c>
      <c r="K132" s="357" t="s">
        <v>7</v>
      </c>
      <c r="L132" s="357" t="s">
        <v>10</v>
      </c>
      <c r="M132" s="357" t="s">
        <v>11</v>
      </c>
      <c r="N132" s="357" t="s">
        <v>494</v>
      </c>
      <c r="O132" s="357" t="s">
        <v>12</v>
      </c>
      <c r="P132" s="362" t="s">
        <v>494</v>
      </c>
      <c r="Q132" s="1154"/>
      <c r="R132" s="1154"/>
      <c r="S132" s="1154"/>
      <c r="T132" s="1154"/>
      <c r="U132" s="1154"/>
      <c r="V132" s="1154"/>
      <c r="W132" s="1154"/>
      <c r="X132" s="1154"/>
      <c r="Y132" s="1154"/>
      <c r="Z132" s="1154"/>
      <c r="AA132" s="1154"/>
      <c r="AB132" s="1154"/>
      <c r="AC132" s="1154"/>
      <c r="AD132" s="1154"/>
      <c r="AE132" s="1154"/>
      <c r="AF132" s="1154"/>
      <c r="AG132" s="1154"/>
      <c r="AH132" s="1154"/>
      <c r="AI132" s="1154"/>
      <c r="AJ132" s="1154"/>
      <c r="AK132" s="1154"/>
      <c r="AL132" s="1154"/>
      <c r="AM132" s="1154"/>
      <c r="AN132" s="1154"/>
      <c r="AO132" s="1154"/>
      <c r="AP132" s="1154"/>
      <c r="AQ132" s="1154"/>
      <c r="AR132" s="1154"/>
      <c r="AS132" s="1154"/>
      <c r="AT132" s="1154"/>
      <c r="AU132" s="1154"/>
      <c r="AV132" s="1154"/>
      <c r="AW132" s="1154"/>
      <c r="AX132" s="1154"/>
      <c r="AY132" s="1154"/>
      <c r="AZ132" s="1154"/>
      <c r="BA132" s="1154"/>
      <c r="BB132" s="1154"/>
      <c r="BC132" s="1154"/>
      <c r="BD132" s="1154"/>
      <c r="BE132" s="1154"/>
      <c r="BF132" s="1154"/>
      <c r="BG132" s="1154"/>
      <c r="BH132" s="1154"/>
      <c r="BI132" s="1154"/>
      <c r="BJ132" s="1154"/>
      <c r="BK132" s="1154"/>
      <c r="BL132" s="1154"/>
      <c r="BM132" s="1154"/>
      <c r="BN132" s="1154"/>
    </row>
    <row r="133" spans="1:66" s="154" customFormat="1">
      <c r="A133" s="1154"/>
      <c r="B133" s="1297" t="s">
        <v>18</v>
      </c>
      <c r="C133" s="1300" t="s">
        <v>14</v>
      </c>
      <c r="D133" s="365" t="e">
        <f ca="1">_xll.BDP($B133,D$132,$L$132:$P$132,$L133:$P133)</f>
        <v>#NAME?</v>
      </c>
      <c r="E133" s="355" t="e">
        <f ca="1">_xll.BDP($B133,E$132,$L$132:$P$132,$L133:$P133)</f>
        <v>#NAME?</v>
      </c>
      <c r="F133" s="355" t="e">
        <f ca="1">_xll.BDP($B133,F$132,$L$132:$P$132,$L133:$P133)</f>
        <v>#NAME?</v>
      </c>
      <c r="G133" s="355" t="e">
        <f ca="1">_xll.BDP($B133,G$132,$L$132:$P$132,$L133:$P133)</f>
        <v>#NAME?</v>
      </c>
      <c r="H133" s="355" t="e">
        <f ca="1">_xll.BDP($B133,H$132,$L$132:$P$132,$L133:$P133)</f>
        <v>#NAME?</v>
      </c>
      <c r="I133" s="355" t="e">
        <f ca="1">_xll.BDP($B133,I$132,$L$132:$P$132,$L133:$P133)</f>
        <v>#NAME?</v>
      </c>
      <c r="J133" s="1298">
        <v>20.100000000000001</v>
      </c>
      <c r="K133" s="1298">
        <v>500</v>
      </c>
      <c r="L133" s="1298">
        <f>100-J133</f>
        <v>79.900000000000006</v>
      </c>
      <c r="M133" s="1298">
        <v>10000000</v>
      </c>
      <c r="N133" s="1298" t="str">
        <f>IF(P133="","",TEXT(P133,"yyyymmdd"))</f>
        <v>20180625</v>
      </c>
      <c r="O133" s="1298">
        <v>0.2</v>
      </c>
      <c r="P133" s="1299">
        <v>43276</v>
      </c>
      <c r="Q133" s="1154"/>
      <c r="R133" s="1154"/>
      <c r="S133" s="1154"/>
      <c r="T133" s="1154"/>
      <c r="U133" s="1154"/>
      <c r="V133" s="1154"/>
      <c r="W133" s="1154"/>
      <c r="X133" s="1154"/>
      <c r="Y133" s="1154"/>
      <c r="Z133" s="1154"/>
      <c r="AA133" s="1154"/>
      <c r="AB133" s="1154"/>
      <c r="AC133" s="1154"/>
      <c r="AD133" s="1154"/>
      <c r="AE133" s="1154"/>
      <c r="AF133" s="1154"/>
      <c r="AG133" s="1154"/>
      <c r="AH133" s="1154"/>
      <c r="AI133" s="1154"/>
      <c r="AJ133" s="1154"/>
      <c r="AK133" s="1154"/>
      <c r="AL133" s="1154"/>
      <c r="AM133" s="1154"/>
      <c r="AN133" s="1154"/>
      <c r="AO133" s="1154"/>
      <c r="AP133" s="1154"/>
      <c r="AQ133" s="1154"/>
      <c r="AR133" s="1154"/>
      <c r="AS133" s="1154"/>
      <c r="AT133" s="1154"/>
      <c r="AU133" s="1154"/>
      <c r="AV133" s="1154"/>
      <c r="AW133" s="1154"/>
      <c r="AX133" s="1154"/>
      <c r="AY133" s="1154"/>
      <c r="AZ133" s="1154"/>
      <c r="BA133" s="1154"/>
      <c r="BB133" s="1154"/>
      <c r="BC133" s="1154"/>
      <c r="BD133" s="1154"/>
      <c r="BE133" s="1154"/>
      <c r="BF133" s="1154"/>
      <c r="BG133" s="1154"/>
      <c r="BH133" s="1154"/>
      <c r="BI133" s="1154"/>
      <c r="BJ133" s="1154"/>
      <c r="BK133" s="1154"/>
      <c r="BL133" s="1154"/>
      <c r="BM133" s="1154"/>
      <c r="BN133" s="1154"/>
    </row>
    <row r="134" spans="1:66" s="154" customFormat="1">
      <c r="A134" s="1154"/>
      <c r="B134" s="1297" t="str">
        <f>$B$133</f>
        <v>SP588P47 Corp</v>
      </c>
      <c r="C134" s="1300" t="s">
        <v>15</v>
      </c>
      <c r="D134" s="355" t="e">
        <f ca="1">_xll.BDP($B134,D$132,$L$132:$P$132,$L134:$P134)</f>
        <v>#NAME?</v>
      </c>
      <c r="E134" s="355" t="e">
        <f ca="1">_xll.BDP($B134,E$132,$L$132:$P$132,$L134:$P134)</f>
        <v>#NAME?</v>
      </c>
      <c r="F134" s="355" t="e">
        <f ca="1">_xll.BDP($B134,F$132,$L$132:$P$132,$L134:$P134)</f>
        <v>#NAME?</v>
      </c>
      <c r="G134" s="355" t="e">
        <f ca="1">_xll.BDP($B134,G$132,$L$132:$P$132,$L134:$P134)</f>
        <v>#NAME?</v>
      </c>
      <c r="H134" s="355" t="e">
        <f ca="1">_xll.BDP($B134,H$132,$L$132:$P$132,$L134:$P134)</f>
        <v>#NAME?</v>
      </c>
      <c r="I134" s="355" t="e">
        <f ca="1">_xll.BDP($B134,I$132,$L$132:$P$132,$L134:$P134)</f>
        <v>#NAME?</v>
      </c>
      <c r="J134" s="1298">
        <v>10.25</v>
      </c>
      <c r="K134" s="1298">
        <v>100</v>
      </c>
      <c r="L134" s="1298">
        <f>100-J134</f>
        <v>89.75</v>
      </c>
      <c r="M134" s="1298">
        <v>25000000</v>
      </c>
      <c r="N134" s="1298" t="str">
        <f>IF(P134="","",TEXT(P134,"yyyymmdd"))</f>
        <v>20191222</v>
      </c>
      <c r="O134" s="1298">
        <v>0.4</v>
      </c>
      <c r="P134" s="1299">
        <v>43821</v>
      </c>
      <c r="Q134" s="1154"/>
      <c r="R134" s="1154"/>
      <c r="S134" s="1154"/>
      <c r="T134" s="1154"/>
      <c r="U134" s="1154"/>
      <c r="V134" s="1154"/>
      <c r="W134" s="1154"/>
      <c r="X134" s="1154"/>
      <c r="Y134" s="1154"/>
      <c r="Z134" s="1154"/>
      <c r="AA134" s="1154"/>
      <c r="AB134" s="1154"/>
      <c r="AC134" s="1154"/>
      <c r="AD134" s="1154"/>
      <c r="AE134" s="1154"/>
      <c r="AF134" s="1154"/>
      <c r="AG134" s="1154"/>
      <c r="AH134" s="1154"/>
      <c r="AI134" s="1154"/>
      <c r="AJ134" s="1154"/>
      <c r="AK134" s="1154"/>
      <c r="AL134" s="1154"/>
      <c r="AM134" s="1154"/>
      <c r="AN134" s="1154"/>
      <c r="AO134" s="1154"/>
      <c r="AP134" s="1154"/>
      <c r="AQ134" s="1154"/>
      <c r="AR134" s="1154"/>
      <c r="AS134" s="1154"/>
      <c r="AT134" s="1154"/>
      <c r="AU134" s="1154"/>
      <c r="AV134" s="1154"/>
      <c r="AW134" s="1154"/>
      <c r="AX134" s="1154"/>
      <c r="AY134" s="1154"/>
      <c r="AZ134" s="1154"/>
      <c r="BA134" s="1154"/>
      <c r="BB134" s="1154"/>
      <c r="BC134" s="1154"/>
      <c r="BD134" s="1154"/>
      <c r="BE134" s="1154"/>
      <c r="BF134" s="1154"/>
      <c r="BG134" s="1154"/>
      <c r="BH134" s="1154"/>
      <c r="BI134" s="1154"/>
      <c r="BJ134" s="1154"/>
      <c r="BK134" s="1154"/>
      <c r="BL134" s="1154"/>
      <c r="BM134" s="1154"/>
      <c r="BN134" s="1154"/>
    </row>
    <row r="135" spans="1:66" s="154" customFormat="1">
      <c r="A135" s="1154"/>
      <c r="B135" s="1297" t="str">
        <f>$B$133</f>
        <v>SP588P47 Corp</v>
      </c>
      <c r="C135" s="1300" t="s">
        <v>16</v>
      </c>
      <c r="D135" s="355" t="e">
        <f ca="1">_xll.BDP($B135,D$132,$L$132:$P$132,$L135:$P135)</f>
        <v>#NAME?</v>
      </c>
      <c r="E135" s="355" t="e">
        <f ca="1">_xll.BDP($B135,E$132,$L$132:$P$132,$L135:$P135)</f>
        <v>#NAME?</v>
      </c>
      <c r="F135" s="355" t="e">
        <f ca="1">_xll.BDP($B135,F$132,$L$132:$P$132,$L135:$P135)</f>
        <v>#NAME?</v>
      </c>
      <c r="G135" s="355" t="e">
        <f ca="1">_xll.BDP($B135,G$132,$L$132:$P$132,$L135:$P135)</f>
        <v>#NAME?</v>
      </c>
      <c r="H135" s="355" t="e">
        <f ca="1">_xll.BDP($B135,H$132,$L$132:$P$132,$L135:$P135)</f>
        <v>#NAME?</v>
      </c>
      <c r="I135" s="355" t="e">
        <f ca="1">_xll.BDP($B135,I$132,$L$132:$P$132,$L135:$P135)</f>
        <v>#NAME?</v>
      </c>
      <c r="J135" s="1298">
        <v>10.75</v>
      </c>
      <c r="K135" s="1298">
        <v>500</v>
      </c>
      <c r="L135" s="1298">
        <f>100-J135</f>
        <v>89.25</v>
      </c>
      <c r="M135" s="1298">
        <v>18000000</v>
      </c>
      <c r="N135" s="1298" t="str">
        <f>IF(P135="","",TEXT(P135,"yyyymmdd"))</f>
        <v>20200920</v>
      </c>
      <c r="O135" s="1298">
        <v>1.0000000000000001E-5</v>
      </c>
      <c r="P135" s="1299">
        <v>44094</v>
      </c>
      <c r="Q135" s="1154"/>
      <c r="R135" s="1154"/>
      <c r="S135" s="1154"/>
      <c r="T135" s="1154"/>
      <c r="U135" s="1154"/>
      <c r="V135" s="1154"/>
      <c r="W135" s="1154"/>
      <c r="X135" s="1154"/>
      <c r="Y135" s="1154"/>
      <c r="Z135" s="1154"/>
      <c r="AA135" s="1154"/>
      <c r="AB135" s="1154"/>
      <c r="AC135" s="1154"/>
      <c r="AD135" s="1154"/>
      <c r="AE135" s="1154"/>
      <c r="AF135" s="1154"/>
      <c r="AG135" s="1154"/>
      <c r="AH135" s="1154"/>
      <c r="AI135" s="1154"/>
      <c r="AJ135" s="1154"/>
      <c r="AK135" s="1154"/>
      <c r="AL135" s="1154"/>
      <c r="AM135" s="1154"/>
      <c r="AN135" s="1154"/>
      <c r="AO135" s="1154"/>
      <c r="AP135" s="1154"/>
      <c r="AQ135" s="1154"/>
      <c r="AR135" s="1154"/>
      <c r="AS135" s="1154"/>
      <c r="AT135" s="1154"/>
      <c r="AU135" s="1154"/>
      <c r="AV135" s="1154"/>
      <c r="AW135" s="1154"/>
      <c r="AX135" s="1154"/>
      <c r="AY135" s="1154"/>
      <c r="AZ135" s="1154"/>
      <c r="BA135" s="1154"/>
      <c r="BB135" s="1154"/>
      <c r="BC135" s="1154"/>
      <c r="BD135" s="1154"/>
      <c r="BE135" s="1154"/>
      <c r="BF135" s="1154"/>
      <c r="BG135" s="1154"/>
      <c r="BH135" s="1154"/>
      <c r="BI135" s="1154"/>
      <c r="BJ135" s="1154"/>
      <c r="BK135" s="1154"/>
      <c r="BL135" s="1154"/>
      <c r="BM135" s="1154"/>
      <c r="BN135" s="1154"/>
    </row>
    <row r="136" spans="1:66" s="1106" customFormat="1">
      <c r="A136" s="1290"/>
      <c r="B136" s="861" t="s">
        <v>1780</v>
      </c>
      <c r="C136" s="862"/>
      <c r="D136" s="863"/>
      <c r="E136" s="863"/>
      <c r="F136" s="872"/>
      <c r="G136" s="865"/>
      <c r="H136" s="865"/>
      <c r="I136" s="866"/>
      <c r="J136" s="866"/>
      <c r="K136" s="866"/>
      <c r="L136" s="866"/>
      <c r="M136" s="873"/>
      <c r="N136" s="873"/>
      <c r="O136" s="873"/>
      <c r="P136" s="874"/>
      <c r="Q136" s="1290"/>
      <c r="R136" s="1290"/>
      <c r="S136" s="1290"/>
      <c r="T136" s="1290"/>
      <c r="U136" s="1290"/>
      <c r="V136" s="1290"/>
      <c r="W136" s="1290"/>
      <c r="X136" s="1290"/>
      <c r="Y136" s="1290"/>
      <c r="Z136" s="1290"/>
      <c r="AA136" s="1290"/>
      <c r="AB136" s="1290"/>
      <c r="AC136" s="1290"/>
      <c r="AD136" s="1290"/>
      <c r="AE136" s="1290"/>
      <c r="AF136" s="1290"/>
      <c r="AG136" s="1290"/>
      <c r="AH136" s="1290"/>
      <c r="AI136" s="1290"/>
      <c r="AJ136" s="1290"/>
      <c r="AK136" s="1290"/>
      <c r="AL136" s="1290"/>
      <c r="AM136" s="1290"/>
      <c r="AN136" s="1290"/>
      <c r="AO136" s="1290"/>
      <c r="AP136" s="1290"/>
      <c r="AQ136" s="1290"/>
      <c r="AR136" s="1290"/>
      <c r="AS136" s="1290"/>
      <c r="AT136" s="1290"/>
      <c r="AU136" s="1290"/>
      <c r="AV136" s="1290"/>
      <c r="AW136" s="1290"/>
      <c r="AX136" s="1290"/>
      <c r="AY136" s="1290"/>
      <c r="AZ136" s="1290"/>
      <c r="BA136" s="1290"/>
      <c r="BB136" s="1290"/>
      <c r="BC136" s="1290"/>
      <c r="BD136" s="1290"/>
      <c r="BE136" s="1290"/>
      <c r="BF136" s="1290"/>
      <c r="BG136" s="1290"/>
      <c r="BH136" s="1290"/>
      <c r="BI136" s="1290"/>
      <c r="BJ136" s="1290"/>
      <c r="BK136" s="1290"/>
      <c r="BL136" s="1290"/>
      <c r="BM136" s="1290"/>
      <c r="BN136" s="1290"/>
    </row>
    <row r="137" spans="1:66" s="1117" customFormat="1" ht="236.25" customHeight="1">
      <c r="B137" s="1284"/>
      <c r="C137" s="1275"/>
      <c r="D137" s="1276"/>
      <c r="E137" s="1276"/>
      <c r="F137" s="1284"/>
      <c r="G137" s="1277"/>
      <c r="H137" s="1277"/>
      <c r="I137" s="1191"/>
      <c r="J137" s="1191"/>
      <c r="K137" s="1191"/>
      <c r="L137" s="1191"/>
    </row>
    <row r="138" spans="1:66" s="1117" customFormat="1">
      <c r="B138" s="1284"/>
      <c r="C138" s="1275"/>
      <c r="D138" s="1276"/>
      <c r="E138" s="1276"/>
      <c r="F138" s="1284"/>
      <c r="G138" s="1277"/>
      <c r="H138" s="1277"/>
      <c r="I138" s="1191"/>
      <c r="J138" s="1191"/>
      <c r="K138" s="1191"/>
      <c r="L138" s="1191"/>
    </row>
    <row r="139" spans="1:66" s="1117" customFormat="1" ht="21">
      <c r="B139" s="1270" t="s">
        <v>95</v>
      </c>
      <c r="C139" s="1275"/>
      <c r="D139" s="1276"/>
      <c r="E139" s="1276"/>
      <c r="F139" s="1284"/>
      <c r="G139" s="1277"/>
      <c r="H139" s="1277"/>
      <c r="I139" s="1191"/>
      <c r="J139" s="1191"/>
      <c r="K139" s="1191"/>
      <c r="L139" s="1191"/>
    </row>
    <row r="140" spans="1:66">
      <c r="B140" s="256"/>
      <c r="C140" s="346" t="s">
        <v>144</v>
      </c>
      <c r="D140" s="207"/>
      <c r="E140" s="212"/>
      <c r="F140" s="1284"/>
      <c r="G140" s="1117"/>
      <c r="H140" s="1277"/>
      <c r="I140" s="1191"/>
      <c r="J140" s="1191"/>
      <c r="K140" s="1191"/>
      <c r="L140" s="1191"/>
    </row>
    <row r="141" spans="1:66">
      <c r="B141" s="209"/>
      <c r="C141" s="239" t="s">
        <v>426</v>
      </c>
      <c r="D141" s="290" t="s">
        <v>936</v>
      </c>
      <c r="E141" s="349"/>
      <c r="F141" s="1284"/>
      <c r="G141" s="1117"/>
      <c r="H141" s="1277"/>
      <c r="I141" s="1191"/>
      <c r="J141" s="1191"/>
      <c r="K141" s="1191"/>
      <c r="L141" s="1191"/>
    </row>
    <row r="142" spans="1:66">
      <c r="B142" s="1302" t="s">
        <v>796</v>
      </c>
      <c r="C142" s="351" t="e">
        <f ca="1">_xll.BDP($B142,C$141)</f>
        <v>#NAME?</v>
      </c>
      <c r="D142" s="244"/>
      <c r="E142" s="213"/>
      <c r="F142" s="1284"/>
      <c r="G142" s="1277"/>
      <c r="H142" s="1277"/>
      <c r="I142" s="1191"/>
      <c r="J142" s="1191"/>
      <c r="K142" s="1191"/>
      <c r="L142" s="1191"/>
    </row>
    <row r="143" spans="1:66">
      <c r="B143" s="1302" t="s">
        <v>975</v>
      </c>
      <c r="C143" s="352" t="e">
        <f ca="1">_xll.BDP($B143,C$141,$D$141,$D143)</f>
        <v>#NAME?</v>
      </c>
      <c r="D143" s="1303" t="s">
        <v>937</v>
      </c>
      <c r="E143" s="213"/>
      <c r="F143" s="1284"/>
      <c r="G143" s="1277"/>
      <c r="H143" s="1277"/>
      <c r="I143" s="1191"/>
      <c r="J143" s="1191"/>
      <c r="K143" s="1191"/>
      <c r="L143" s="1191"/>
    </row>
    <row r="144" spans="1:66">
      <c r="B144" s="1302" t="s">
        <v>975</v>
      </c>
      <c r="C144" s="350" t="e">
        <f ca="1">_xll.BDP($B144,C$141,$D$141,$D144)</f>
        <v>#NAME?</v>
      </c>
      <c r="D144" s="1303" t="s">
        <v>938</v>
      </c>
      <c r="E144" s="213"/>
      <c r="F144" s="1284"/>
      <c r="G144" s="1277"/>
      <c r="H144" s="1277"/>
      <c r="I144" s="1191"/>
      <c r="J144" s="1191"/>
      <c r="K144" s="1191"/>
      <c r="L144" s="1191"/>
    </row>
    <row r="145" spans="2:12">
      <c r="B145" s="236"/>
      <c r="C145" s="353" t="s">
        <v>145</v>
      </c>
      <c r="D145" s="210"/>
      <c r="E145" s="238"/>
      <c r="F145" s="1284"/>
      <c r="G145" s="1277"/>
      <c r="H145" s="1277"/>
      <c r="I145" s="1191"/>
      <c r="J145" s="1191"/>
      <c r="K145" s="1191"/>
      <c r="L145" s="1191"/>
    </row>
    <row r="146" spans="2:12">
      <c r="B146" s="1104"/>
      <c r="C146" s="1098"/>
      <c r="D146" s="1099"/>
      <c r="E146" s="1099"/>
      <c r="F146" s="1284"/>
      <c r="G146" s="1277"/>
      <c r="H146" s="1277"/>
      <c r="I146" s="1191"/>
      <c r="J146" s="1191"/>
      <c r="K146" s="1191"/>
      <c r="L146" s="1191"/>
    </row>
    <row r="147" spans="2:12">
      <c r="B147" s="407" t="s">
        <v>974</v>
      </c>
      <c r="C147" s="1094"/>
      <c r="D147" s="1095"/>
      <c r="E147" s="1107"/>
      <c r="F147" s="1284"/>
      <c r="G147" s="1277"/>
      <c r="H147" s="1277"/>
      <c r="I147" s="1191"/>
      <c r="J147" s="1191"/>
      <c r="K147" s="1191"/>
      <c r="L147" s="1191"/>
    </row>
    <row r="148" spans="2:12">
      <c r="B148" s="1108" t="s">
        <v>1290</v>
      </c>
      <c r="C148" s="1098"/>
      <c r="D148" s="1099"/>
      <c r="E148" s="1109"/>
      <c r="F148" s="1284"/>
      <c r="G148" s="1277"/>
      <c r="H148" s="1277"/>
      <c r="I148" s="1191"/>
      <c r="J148" s="1191"/>
      <c r="K148" s="1191"/>
      <c r="L148" s="1191"/>
    </row>
    <row r="149" spans="2:12">
      <c r="B149" s="1110" t="s">
        <v>1289</v>
      </c>
      <c r="C149" s="252"/>
      <c r="D149" s="253"/>
      <c r="E149" s="1111"/>
      <c r="F149" s="1284"/>
      <c r="G149" s="1277"/>
      <c r="H149" s="1277"/>
      <c r="I149" s="1191"/>
      <c r="J149" s="1191"/>
      <c r="K149" s="1191"/>
      <c r="L149" s="1191"/>
    </row>
    <row r="150" spans="2:12">
      <c r="B150" s="1104"/>
      <c r="C150" s="1098"/>
      <c r="D150" s="1099"/>
      <c r="E150" s="1099"/>
      <c r="F150" s="1284"/>
      <c r="G150" s="1277"/>
      <c r="H150" s="1277"/>
      <c r="I150" s="1191"/>
      <c r="J150" s="1191"/>
      <c r="K150" s="1191"/>
      <c r="L150" s="1191"/>
    </row>
    <row r="151" spans="2:12">
      <c r="B151" s="1104"/>
      <c r="C151" s="1098"/>
      <c r="D151" s="1099"/>
      <c r="E151" s="1099"/>
      <c r="F151" s="1284"/>
      <c r="G151" s="1277"/>
      <c r="H151" s="1277"/>
      <c r="I151" s="1191"/>
      <c r="J151" s="1191"/>
      <c r="K151" s="1191"/>
      <c r="L151" s="1191"/>
    </row>
    <row r="152" spans="2:12" ht="21">
      <c r="B152" s="1015" t="s">
        <v>197</v>
      </c>
      <c r="I152" s="751"/>
      <c r="J152" s="1119"/>
      <c r="K152" s="1191"/>
      <c r="L152" s="1191"/>
    </row>
    <row r="153" spans="2:12" ht="15.75">
      <c r="B153" s="301" t="s">
        <v>980</v>
      </c>
      <c r="C153" s="198"/>
      <c r="D153" s="113"/>
      <c r="E153" s="113"/>
      <c r="F153" s="113"/>
      <c r="G153" s="113"/>
      <c r="H153" s="113"/>
      <c r="I153" s="114"/>
      <c r="J153" s="1118"/>
      <c r="K153" s="1191"/>
      <c r="L153" s="1191"/>
    </row>
    <row r="154" spans="2:12" ht="15.75">
      <c r="B154" s="300"/>
      <c r="C154" s="368"/>
      <c r="D154" s="25"/>
      <c r="E154" s="318" t="s">
        <v>146</v>
      </c>
      <c r="F154" s="25"/>
      <c r="G154" s="1014"/>
      <c r="H154" s="1014"/>
      <c r="I154" s="1112"/>
      <c r="J154" s="1118"/>
      <c r="K154" s="1191"/>
      <c r="L154" s="1191"/>
    </row>
    <row r="155" spans="2:12" ht="15.75">
      <c r="B155" s="231" t="s">
        <v>976</v>
      </c>
      <c r="C155" s="368"/>
      <c r="D155" s="115" t="s">
        <v>977</v>
      </c>
      <c r="E155" s="783" t="s">
        <v>978</v>
      </c>
      <c r="F155" s="1314" t="s">
        <v>1782</v>
      </c>
      <c r="G155" s="307"/>
      <c r="H155" s="304"/>
      <c r="I155" s="1113"/>
      <c r="J155" s="1118"/>
      <c r="K155" s="1191"/>
      <c r="L155" s="1191"/>
    </row>
    <row r="156" spans="2:12" ht="15.75">
      <c r="B156" s="1304">
        <v>43524</v>
      </c>
      <c r="C156" s="369"/>
      <c r="D156" s="1305">
        <v>-25</v>
      </c>
      <c r="E156" s="319" t="e">
        <f ca="1">_xll.BADDPERIODS(B156,"numberofperiods="&amp;$D$156,"CDR=TE")</f>
        <v>#NAME?</v>
      </c>
      <c r="F156" s="1040" t="e">
        <f ca="1">WEEKDAY(E156)</f>
        <v>#NAME?</v>
      </c>
      <c r="G156" s="1313" t="s">
        <v>1781</v>
      </c>
      <c r="H156" s="302"/>
      <c r="I156" s="1113"/>
      <c r="J156" s="1118"/>
      <c r="K156" s="1191"/>
      <c r="L156" s="1191"/>
    </row>
    <row r="157" spans="2:12" ht="15.75">
      <c r="B157" s="1304">
        <v>44424</v>
      </c>
      <c r="C157" s="369"/>
      <c r="D157" s="1305">
        <v>89</v>
      </c>
      <c r="E157" s="215" t="e">
        <f ca="1">_xll.BADDPERIODS(B157,"numberofperiods="&amp;$D$157,"CDR=TE")</f>
        <v>#NAME?</v>
      </c>
      <c r="F157" s="1040" t="e">
        <f ca="1">WEEKDAY(E157)</f>
        <v>#NAME?</v>
      </c>
      <c r="G157" s="307"/>
      <c r="H157" s="302"/>
      <c r="I157" s="1113"/>
      <c r="J157" s="1118"/>
      <c r="K157" s="1191"/>
      <c r="L157" s="1191"/>
    </row>
    <row r="158" spans="2:12" ht="15.75">
      <c r="B158" s="1304">
        <v>39405</v>
      </c>
      <c r="C158" s="369"/>
      <c r="D158" s="1305">
        <v>101</v>
      </c>
      <c r="E158" s="215" t="e">
        <f ca="1">_xll.BADDPERIODS(B158,"numberofperiods="&amp;$D$158,"CDR=TE")</f>
        <v>#NAME?</v>
      </c>
      <c r="F158" s="1040" t="e">
        <f ca="1">WEEKDAY(E158)</f>
        <v>#NAME?</v>
      </c>
      <c r="G158" s="307"/>
      <c r="H158" s="302"/>
      <c r="I158" s="1113"/>
      <c r="J158" s="1118"/>
      <c r="K158" s="1191"/>
      <c r="L158" s="1191"/>
    </row>
    <row r="159" spans="2:12">
      <c r="B159" s="789"/>
      <c r="C159" s="35"/>
      <c r="D159" s="35"/>
      <c r="E159" s="35"/>
      <c r="F159" s="305"/>
      <c r="G159" s="306"/>
      <c r="H159" s="306"/>
      <c r="I159" s="1114"/>
      <c r="J159" s="1118"/>
      <c r="K159" s="1191"/>
      <c r="L159" s="1191"/>
    </row>
    <row r="160" spans="2:12">
      <c r="I160" s="751"/>
      <c r="J160" s="1119"/>
      <c r="K160" s="1191"/>
      <c r="L160" s="1191"/>
    </row>
    <row r="161" spans="2:12">
      <c r="B161" s="1104"/>
      <c r="C161" s="1098"/>
      <c r="D161" s="1099"/>
      <c r="E161" s="1099"/>
      <c r="F161" s="1104"/>
      <c r="G161" s="257"/>
      <c r="H161" s="257"/>
      <c r="I161" s="208"/>
      <c r="J161" s="1191"/>
      <c r="K161" s="1191"/>
      <c r="L161" s="1191"/>
    </row>
    <row r="162" spans="2:12" ht="21">
      <c r="B162" s="1015" t="s">
        <v>152</v>
      </c>
      <c r="J162" s="1117"/>
    </row>
    <row r="163" spans="2:12" ht="15.75">
      <c r="B163" s="256"/>
      <c r="C163" s="346" t="s">
        <v>147</v>
      </c>
      <c r="D163" s="207"/>
      <c r="E163" s="207"/>
      <c r="F163" s="207"/>
      <c r="G163" s="249"/>
      <c r="H163" s="207"/>
      <c r="I163" s="229"/>
      <c r="J163" s="1117"/>
    </row>
    <row r="164" spans="2:12" ht="15.75">
      <c r="B164" s="209"/>
      <c r="C164" s="239" t="s">
        <v>910</v>
      </c>
      <c r="D164" s="239" t="s">
        <v>424</v>
      </c>
      <c r="E164" s="239" t="s">
        <v>911</v>
      </c>
      <c r="F164" s="244" t="s">
        <v>912</v>
      </c>
      <c r="G164" s="243" t="s">
        <v>913</v>
      </c>
      <c r="H164" s="244" t="s">
        <v>914</v>
      </c>
      <c r="I164" s="200"/>
      <c r="J164" s="1117"/>
    </row>
    <row r="165" spans="2:12" ht="15.75">
      <c r="B165" s="1302" t="s">
        <v>794</v>
      </c>
      <c r="C165" s="310" t="e">
        <f ca="1">_xll.BDP($B165,C$164,$F$164:$H$164,$F165:$H165)</f>
        <v>#NAME?</v>
      </c>
      <c r="D165" s="273" t="e">
        <f ca="1">_xll.BDP($B165,D$164,$F$164:$H$164,$F165:$H165)</f>
        <v>#NAME?</v>
      </c>
      <c r="E165" s="273" t="e">
        <f ca="1">_xll.BDP($B165,E$164,$F$164:$H$164,$F165:$H165)</f>
        <v>#NAME?</v>
      </c>
      <c r="F165" s="1306">
        <v>2016</v>
      </c>
      <c r="G165" s="1306" t="s">
        <v>915</v>
      </c>
      <c r="H165" s="1306"/>
      <c r="I165" s="200"/>
      <c r="J165" s="1117"/>
    </row>
    <row r="166" spans="2:12" ht="15.75">
      <c r="B166" s="1302" t="s">
        <v>806</v>
      </c>
      <c r="C166" s="273" t="e">
        <f ca="1">_xll.BDP($B166,C$164,$F$164:$H$164,$F166:$H166)</f>
        <v>#NAME?</v>
      </c>
      <c r="D166" s="273" t="e">
        <f ca="1">_xll.BDP($B166,D$164,$F$164:$H$164,$F166:$H166)</f>
        <v>#NAME?</v>
      </c>
      <c r="E166" s="273" t="e">
        <f ca="1">_xll.BDP($B166,E$164,$F$164:$H$164,$F166:$H166)</f>
        <v>#NAME?</v>
      </c>
      <c r="F166" s="1306">
        <v>2014</v>
      </c>
      <c r="G166" s="1306" t="s">
        <v>916</v>
      </c>
      <c r="H166" s="1306" t="s">
        <v>826</v>
      </c>
      <c r="I166" s="200"/>
      <c r="J166" s="1117"/>
    </row>
    <row r="167" spans="2:12" ht="15.75">
      <c r="B167" s="202"/>
      <c r="C167" s="203"/>
      <c r="D167" s="203"/>
      <c r="E167" s="203"/>
      <c r="F167" s="203"/>
      <c r="G167" s="232"/>
      <c r="H167" s="203"/>
      <c r="I167" s="230"/>
      <c r="J167" s="1117"/>
    </row>
    <row r="168" spans="2:12">
      <c r="J168" s="1117"/>
    </row>
    <row r="169" spans="2:12">
      <c r="B169" s="256"/>
      <c r="C169" s="346" t="s">
        <v>148</v>
      </c>
      <c r="D169" s="207"/>
      <c r="E169" s="207"/>
      <c r="F169" s="207"/>
      <c r="G169" s="207"/>
      <c r="H169" s="207"/>
      <c r="I169" s="212"/>
      <c r="J169" s="1117"/>
    </row>
    <row r="170" spans="2:12" ht="30">
      <c r="B170" s="209"/>
      <c r="C170" s="287" t="s">
        <v>917</v>
      </c>
      <c r="D170" s="287" t="s">
        <v>918</v>
      </c>
      <c r="E170" s="287" t="s">
        <v>914</v>
      </c>
      <c r="F170" s="288" t="s">
        <v>919</v>
      </c>
      <c r="G170" s="289" t="s">
        <v>920</v>
      </c>
      <c r="H170" s="289"/>
      <c r="I170" s="213"/>
      <c r="J170" s="1117"/>
    </row>
    <row r="171" spans="2:12">
      <c r="B171" s="1306" t="s">
        <v>423</v>
      </c>
      <c r="C171" s="310" t="e">
        <f ca="1">_xll.BDP($B171,C$170,$G$170,$G171)</f>
        <v>#NAME?</v>
      </c>
      <c r="D171" s="273" t="e">
        <f ca="1">_xll.BDP($B171,D$170,$G$170,$G171)</f>
        <v>#NAME?</v>
      </c>
      <c r="E171" s="273" t="e">
        <f ca="1">_xll.BDP($B171,E$170,$G$170,$G171)</f>
        <v>#NAME?</v>
      </c>
      <c r="F171" s="273" t="e">
        <f ca="1">_xll.BDP($B171,F$170,$G$170,$G171)</f>
        <v>#NAME?</v>
      </c>
      <c r="G171" s="1308" t="s">
        <v>1784</v>
      </c>
      <c r="H171" s="1315" t="s">
        <v>1783</v>
      </c>
      <c r="I171" s="291"/>
      <c r="J171" s="1117"/>
    </row>
    <row r="172" spans="2:12">
      <c r="B172" s="1306" t="s">
        <v>794</v>
      </c>
      <c r="C172" s="273" t="e">
        <f ca="1">_xll.BDP($B172,C$170,$G$170,$G172)</f>
        <v>#NAME?</v>
      </c>
      <c r="D172" s="273" t="e">
        <f ca="1">_xll.BDP($B172,D$170,$G$170,$G172)</f>
        <v>#NAME?</v>
      </c>
      <c r="E172" s="273" t="e">
        <f ca="1">_xll.BDP($B172,E$170,$G$170,$G172)</f>
        <v>#NAME?</v>
      </c>
      <c r="F172" s="273" t="e">
        <f ca="1">_xll.BDP($B172,F$170,$G$170,$G172)</f>
        <v>#NAME?</v>
      </c>
      <c r="G172" s="1306"/>
      <c r="H172" s="1115"/>
      <c r="I172" s="213"/>
      <c r="J172" s="1117"/>
    </row>
    <row r="173" spans="2:12">
      <c r="B173" s="236"/>
      <c r="C173" s="210"/>
      <c r="D173" s="210"/>
      <c r="E173" s="210"/>
      <c r="F173" s="210"/>
      <c r="G173" s="237"/>
      <c r="H173" s="210"/>
      <c r="I173" s="238"/>
      <c r="J173" s="1117"/>
    </row>
    <row r="174" spans="2:12">
      <c r="J174" s="1117"/>
    </row>
    <row r="175" spans="2:12">
      <c r="B175" s="256"/>
      <c r="C175" s="346" t="s">
        <v>149</v>
      </c>
      <c r="D175" s="207"/>
      <c r="E175" s="207"/>
      <c r="F175" s="207"/>
      <c r="G175" s="249"/>
      <c r="H175" s="113"/>
      <c r="I175" s="114"/>
      <c r="J175" s="1154"/>
    </row>
    <row r="176" spans="2:12" ht="30">
      <c r="B176" s="209"/>
      <c r="C176" s="289" t="s">
        <v>926</v>
      </c>
      <c r="D176" s="287" t="s">
        <v>783</v>
      </c>
      <c r="E176" s="287" t="s">
        <v>927</v>
      </c>
      <c r="F176" s="292" t="s">
        <v>928</v>
      </c>
      <c r="G176" s="292" t="s">
        <v>929</v>
      </c>
      <c r="H176" s="293" t="s">
        <v>972</v>
      </c>
      <c r="I176" s="294" t="s">
        <v>973</v>
      </c>
      <c r="J176" s="1154"/>
    </row>
    <row r="177" spans="2:12">
      <c r="B177" s="1306" t="s">
        <v>794</v>
      </c>
      <c r="C177" s="310" t="e">
        <f>_xll.BDP($B177,C$176,$F$176:$G$176,$F177:$G177)</f>
        <v>#N/A</v>
      </c>
      <c r="D177" s="273" t="e">
        <f>_xll.BDP($B177,D$176,$F$176:$G$176,$F177:$G177)</f>
        <v>#N/A</v>
      </c>
      <c r="E177" s="273" t="e">
        <f>_xll.BDP($B177,E$176,$F$176:$G$176,$F177:$G177)</f>
        <v>#N/A</v>
      </c>
      <c r="F177" s="270" t="str">
        <f ca="1">TEXT($H$177,"YYYYMMDD")</f>
        <v>YYYY06DD</v>
      </c>
      <c r="G177" s="270" t="str">
        <f ca="1">TEXT($I$177,"YYYYMMDD")</f>
        <v>YYYY10DD</v>
      </c>
      <c r="H177" s="1307">
        <f ca="1">TODAY()-100</f>
        <v>43642</v>
      </c>
      <c r="I177" s="1307">
        <f ca="1">TODAY()</f>
        <v>43742</v>
      </c>
      <c r="J177" s="1154"/>
    </row>
    <row r="178" spans="2:12">
      <c r="B178" s="1306" t="s">
        <v>806</v>
      </c>
      <c r="C178" s="273" t="e">
        <f>_xll.BDP($B178,C$176,$F$176:$G$176,$F178:$G178)</f>
        <v>#N/A</v>
      </c>
      <c r="D178" s="273" t="e">
        <f>_xll.BDP($B178,D$176,$F$176:$G$176,$F178:$G178)</f>
        <v>#N/A</v>
      </c>
      <c r="E178" s="273" t="e">
        <f>_xll.BDP($B178,E$176,$F$176:$G$176,$F178:$G178)</f>
        <v>#N/A</v>
      </c>
      <c r="F178" s="270" t="str">
        <f ca="1">TEXT($H$177,"YYYYMMDD")</f>
        <v>YYYY06DD</v>
      </c>
      <c r="G178" s="270" t="str">
        <f ca="1">TEXT($I$177,"YYYYMMDD")</f>
        <v>YYYY10DD</v>
      </c>
      <c r="H178" s="25"/>
      <c r="I178" s="297"/>
      <c r="J178" s="1154"/>
    </row>
    <row r="179" spans="2:12">
      <c r="B179" s="236"/>
      <c r="C179" s="210"/>
      <c r="D179" s="210"/>
      <c r="E179" s="210"/>
      <c r="F179" s="210"/>
      <c r="G179" s="237"/>
      <c r="H179" s="35"/>
      <c r="I179" s="44"/>
      <c r="J179" s="1154"/>
    </row>
    <row r="180" spans="2:12">
      <c r="B180" s="154"/>
      <c r="C180" s="154"/>
      <c r="D180" s="154"/>
      <c r="E180" s="154"/>
      <c r="F180" s="154"/>
      <c r="G180" s="154"/>
      <c r="H180" s="154"/>
      <c r="I180" s="154"/>
      <c r="J180" s="1154"/>
    </row>
    <row r="181" spans="2:12">
      <c r="B181" s="256"/>
      <c r="C181" s="346" t="s">
        <v>140</v>
      </c>
      <c r="D181" s="207"/>
      <c r="E181" s="207"/>
      <c r="F181" s="207"/>
      <c r="G181" s="249"/>
      <c r="H181" s="113"/>
      <c r="I181" s="114"/>
      <c r="J181" s="1154"/>
    </row>
    <row r="182" spans="2:12" ht="30">
      <c r="B182" s="209"/>
      <c r="C182" s="287" t="s">
        <v>921</v>
      </c>
      <c r="D182" s="287" t="s">
        <v>922</v>
      </c>
      <c r="E182" s="287" t="s">
        <v>923</v>
      </c>
      <c r="F182" s="244" t="s">
        <v>924</v>
      </c>
      <c r="G182" s="243" t="s">
        <v>925</v>
      </c>
      <c r="H182" s="25"/>
      <c r="I182" s="43"/>
      <c r="J182" s="1154"/>
    </row>
    <row r="183" spans="2:12">
      <c r="B183" s="1306" t="s">
        <v>794</v>
      </c>
      <c r="C183" s="347" t="e">
        <f ca="1">_xll.BDP($B183,C$182,$F$182:$G$182,$F183:$G183)</f>
        <v>#NAME?</v>
      </c>
      <c r="D183" s="276" t="e">
        <f ca="1">_xll.BDP($B183,D$182,$F$182:$G$182,$F183:$G183)</f>
        <v>#NAME?</v>
      </c>
      <c r="E183" s="276" t="e">
        <f ca="1">_xll.BDP($B183,E$182,$F$182:$G$182,$F183:$G183)</f>
        <v>#NAME?</v>
      </c>
      <c r="F183" s="1306">
        <v>20151210</v>
      </c>
      <c r="G183" s="1306">
        <v>20160225</v>
      </c>
      <c r="H183" s="776"/>
      <c r="I183" s="776"/>
      <c r="J183" s="1279"/>
    </row>
    <row r="184" spans="2:12">
      <c r="B184" s="1306" t="s">
        <v>423</v>
      </c>
      <c r="C184" s="276" t="e">
        <f ca="1">_xll.BDP($B184,C$182,$F$182:$G$182,$F184:$G184)</f>
        <v>#NAME?</v>
      </c>
      <c r="D184" s="276" t="e">
        <f ca="1">_xll.BDP($B184,D$182,$F$182:$G$182,$F184:$G184)</f>
        <v>#NAME?</v>
      </c>
      <c r="E184" s="276" t="e">
        <f ca="1">_xll.BDP($B184,E$182,$F$182:$G$182,$F184:$G184)</f>
        <v>#NAME?</v>
      </c>
      <c r="F184" s="1306">
        <v>20151210</v>
      </c>
      <c r="G184" s="1306">
        <v>20151210</v>
      </c>
      <c r="H184" s="776"/>
      <c r="I184" s="776"/>
      <c r="J184" s="1279"/>
    </row>
    <row r="185" spans="2:12">
      <c r="B185" s="298"/>
      <c r="C185" s="210"/>
      <c r="D185" s="210"/>
      <c r="E185" s="210"/>
      <c r="F185" s="210"/>
      <c r="G185" s="237"/>
      <c r="H185" s="35"/>
      <c r="I185" s="44"/>
      <c r="J185" s="1154"/>
    </row>
    <row r="186" spans="2:12">
      <c r="B186" s="154"/>
      <c r="C186" s="154"/>
      <c r="D186" s="154"/>
      <c r="E186" s="154"/>
      <c r="F186" s="154"/>
      <c r="G186" s="154"/>
      <c r="H186" s="154"/>
      <c r="I186" s="154"/>
      <c r="J186" s="154"/>
    </row>
    <row r="187" spans="2:12">
      <c r="B187" s="206"/>
      <c r="C187" s="346" t="s">
        <v>150</v>
      </c>
      <c r="D187" s="207"/>
      <c r="E187" s="207"/>
      <c r="F187" s="207"/>
      <c r="G187" s="249"/>
      <c r="H187" s="207"/>
      <c r="I187" s="113"/>
      <c r="J187" s="114"/>
      <c r="K187" s="1309"/>
    </row>
    <row r="188" spans="2:12" ht="30">
      <c r="B188" s="209"/>
      <c r="C188" s="287" t="s">
        <v>930</v>
      </c>
      <c r="D188" s="287" t="s">
        <v>931</v>
      </c>
      <c r="E188" s="292" t="s">
        <v>932</v>
      </c>
      <c r="F188" s="266" t="s">
        <v>933</v>
      </c>
      <c r="G188" s="266" t="s">
        <v>934</v>
      </c>
      <c r="H188" s="266" t="s">
        <v>935</v>
      </c>
      <c r="I188" s="25"/>
      <c r="J188" s="43"/>
      <c r="K188" s="1309"/>
    </row>
    <row r="189" spans="2:12">
      <c r="B189" s="1306" t="s">
        <v>794</v>
      </c>
      <c r="C189" s="345" t="e">
        <f ca="1">_xll.BDP($B189,C$188,$E$188:$H$188,$E189:$H189)</f>
        <v>#NAME?</v>
      </c>
      <c r="D189" s="267" t="e">
        <f ca="1">_xll.BDP($B189,D$188,$E$188:$H$188,$E189:$H189)</f>
        <v>#NAME?</v>
      </c>
      <c r="E189" s="1308" t="s">
        <v>1505</v>
      </c>
      <c r="F189" s="1306">
        <v>20160420</v>
      </c>
      <c r="G189" s="1306">
        <v>20160521</v>
      </c>
      <c r="H189" s="1306" t="s">
        <v>638</v>
      </c>
      <c r="I189" s="25"/>
      <c r="J189" s="434"/>
      <c r="K189" s="1295"/>
    </row>
    <row r="190" spans="2:12">
      <c r="B190" s="1306" t="s">
        <v>806</v>
      </c>
      <c r="C190" s="267" t="e">
        <f ca="1">_xll.BDP($B190,C$188,$E$188:$H$188,$E190:$H190)</f>
        <v>#NAME?</v>
      </c>
      <c r="D190" s="267" t="e">
        <f ca="1">_xll.BDP($B190,D$188,$E$188:$H$188,$E190:$H190)</f>
        <v>#NAME?</v>
      </c>
      <c r="E190" s="1308" t="s">
        <v>1506</v>
      </c>
      <c r="F190" s="1306">
        <v>20160420</v>
      </c>
      <c r="G190" s="1306">
        <v>20160521</v>
      </c>
      <c r="H190" s="1306" t="s">
        <v>603</v>
      </c>
      <c r="I190" s="25"/>
      <c r="J190" s="434"/>
      <c r="K190" s="1295"/>
    </row>
    <row r="191" spans="2:12">
      <c r="B191" s="236"/>
      <c r="C191" s="210"/>
      <c r="D191" s="210"/>
      <c r="E191" s="210"/>
      <c r="F191" s="210"/>
      <c r="G191" s="237"/>
      <c r="H191" s="210"/>
      <c r="I191" s="35"/>
      <c r="J191" s="44"/>
      <c r="K191" s="1309"/>
    </row>
    <row r="192" spans="2:12">
      <c r="B192" s="154"/>
      <c r="C192" s="154"/>
      <c r="D192" s="154"/>
      <c r="E192" s="154"/>
      <c r="F192" s="154"/>
      <c r="G192" s="154"/>
      <c r="H192" s="154"/>
      <c r="I192" s="154"/>
      <c r="J192" s="154"/>
      <c r="L192" s="1210"/>
    </row>
    <row r="193" spans="1:66">
      <c r="B193" s="112"/>
      <c r="C193" s="346" t="s">
        <v>151</v>
      </c>
      <c r="D193" s="113"/>
      <c r="E193" s="113"/>
      <c r="F193" s="113"/>
      <c r="G193" s="113"/>
      <c r="H193" s="113"/>
      <c r="I193" s="113"/>
      <c r="J193" s="114"/>
    </row>
    <row r="194" spans="1:66" s="767" customFormat="1" ht="30">
      <c r="A194" s="1296"/>
      <c r="B194" s="420"/>
      <c r="C194" s="421" t="s">
        <v>128</v>
      </c>
      <c r="D194" s="421" t="s">
        <v>132</v>
      </c>
      <c r="E194" s="421" t="s">
        <v>130</v>
      </c>
      <c r="F194" s="423" t="s">
        <v>134</v>
      </c>
      <c r="G194" s="421" t="s">
        <v>133</v>
      </c>
      <c r="H194" s="423" t="s">
        <v>1410</v>
      </c>
      <c r="I194" s="421" t="s">
        <v>129</v>
      </c>
      <c r="J194" s="422" t="s">
        <v>131</v>
      </c>
      <c r="K194" s="1296"/>
      <c r="L194" s="1296"/>
      <c r="M194" s="1296"/>
      <c r="N194" s="1296"/>
      <c r="O194" s="1296"/>
      <c r="P194" s="1296"/>
      <c r="Q194" s="1296"/>
      <c r="R194" s="1296"/>
      <c r="S194" s="1296"/>
      <c r="T194" s="1296"/>
      <c r="U194" s="1296"/>
      <c r="V194" s="1296"/>
      <c r="W194" s="1296"/>
      <c r="X194" s="1296"/>
      <c r="Y194" s="1296"/>
      <c r="Z194" s="1296"/>
      <c r="AA194" s="1296"/>
      <c r="AB194" s="1296"/>
      <c r="AC194" s="1296"/>
      <c r="AD194" s="1296"/>
      <c r="AE194" s="1296"/>
      <c r="AF194" s="1296"/>
      <c r="AG194" s="1296"/>
      <c r="AH194" s="1296"/>
      <c r="AI194" s="1296"/>
      <c r="AJ194" s="1296"/>
      <c r="AK194" s="1296"/>
      <c r="AL194" s="1296"/>
      <c r="AM194" s="1296"/>
      <c r="AN194" s="1296"/>
      <c r="AO194" s="1296"/>
      <c r="AP194" s="1296"/>
      <c r="AQ194" s="1296"/>
      <c r="AR194" s="1296"/>
      <c r="AS194" s="1296"/>
      <c r="AT194" s="1296"/>
      <c r="AU194" s="1296"/>
      <c r="AV194" s="1296"/>
      <c r="AW194" s="1296"/>
      <c r="AX194" s="1296"/>
      <c r="AY194" s="1296"/>
      <c r="AZ194" s="1296"/>
      <c r="BA194" s="1296"/>
      <c r="BB194" s="1296"/>
      <c r="BC194" s="1296"/>
      <c r="BD194" s="1296"/>
      <c r="BE194" s="1296"/>
      <c r="BF194" s="1296"/>
      <c r="BG194" s="1296"/>
      <c r="BH194" s="1296"/>
      <c r="BI194" s="1296"/>
      <c r="BJ194" s="1296"/>
      <c r="BK194" s="1296"/>
      <c r="BL194" s="1296"/>
      <c r="BM194" s="1296"/>
      <c r="BN194" s="1296"/>
    </row>
    <row r="195" spans="1:66">
      <c r="B195" s="1308" t="s">
        <v>127</v>
      </c>
      <c r="C195" s="320" t="e">
        <f ca="1">_xll.BDP($B195,C$194,$J$194,$J195)</f>
        <v>#NAME?</v>
      </c>
      <c r="D195" s="692" t="e">
        <f ca="1">_xll.BDP($B195,D$194,$J$194,$J195)</f>
        <v>#NAME?</v>
      </c>
      <c r="E195" s="694" t="e">
        <f ca="1">_xll.BDP($B195,E$194,$J$194,$J195)</f>
        <v>#NAME?</v>
      </c>
      <c r="F195" s="694" t="e">
        <f ca="1">_xll.BDP($B195,F$194,$J$194,$J195)</f>
        <v>#NAME?</v>
      </c>
      <c r="G195" s="692" t="e">
        <f ca="1">_xll.BDP($B195,G$194,$J$194,$J195)</f>
        <v>#NAME?</v>
      </c>
      <c r="H195" s="784" t="e">
        <f ca="1">_xll.BDP($B195,H$194,$J$194,$J195)</f>
        <v>#NAME?</v>
      </c>
      <c r="I195" s="115" t="e">
        <f ca="1">_xll.BDP($B195,I$194,$J$194,$J195)</f>
        <v>#NAME?</v>
      </c>
      <c r="J195" s="1306">
        <v>25</v>
      </c>
    </row>
    <row r="196" spans="1:66" s="1106" customFormat="1">
      <c r="A196" s="1290"/>
      <c r="B196" s="875" t="s">
        <v>141</v>
      </c>
      <c r="C196" s="873"/>
      <c r="D196" s="873"/>
      <c r="E196" s="873"/>
      <c r="F196" s="873"/>
      <c r="G196" s="873"/>
      <c r="H196" s="873"/>
      <c r="I196" s="873"/>
      <c r="J196" s="874"/>
      <c r="K196" s="1290"/>
      <c r="L196" s="1290"/>
      <c r="M196" s="1290"/>
      <c r="N196" s="1290"/>
      <c r="O196" s="1290"/>
      <c r="P196" s="1290"/>
      <c r="Q196" s="1290"/>
      <c r="R196" s="1290"/>
      <c r="S196" s="1290"/>
      <c r="T196" s="1290"/>
      <c r="U196" s="1290"/>
      <c r="V196" s="1290"/>
      <c r="W196" s="1290"/>
      <c r="X196" s="1290"/>
      <c r="Y196" s="1290"/>
      <c r="Z196" s="1290"/>
      <c r="AA196" s="1290"/>
      <c r="AB196" s="1290"/>
      <c r="AC196" s="1290"/>
      <c r="AD196" s="1290"/>
      <c r="AE196" s="1290"/>
      <c r="AF196" s="1290"/>
      <c r="AG196" s="1290"/>
      <c r="AH196" s="1290"/>
      <c r="AI196" s="1290"/>
      <c r="AJ196" s="1290"/>
      <c r="AK196" s="1290"/>
      <c r="AL196" s="1290"/>
      <c r="AM196" s="1290"/>
      <c r="AN196" s="1290"/>
      <c r="AO196" s="1290"/>
      <c r="AP196" s="1290"/>
      <c r="AQ196" s="1290"/>
      <c r="AR196" s="1290"/>
      <c r="AS196" s="1290"/>
      <c r="AT196" s="1290"/>
      <c r="AU196" s="1290"/>
      <c r="AV196" s="1290"/>
      <c r="AW196" s="1290"/>
      <c r="AX196" s="1290"/>
      <c r="AY196" s="1290"/>
      <c r="AZ196" s="1290"/>
      <c r="BA196" s="1290"/>
      <c r="BB196" s="1290"/>
      <c r="BC196" s="1290"/>
      <c r="BD196" s="1290"/>
      <c r="BE196" s="1290"/>
      <c r="BF196" s="1290"/>
      <c r="BG196" s="1290"/>
      <c r="BH196" s="1290"/>
      <c r="BI196" s="1290"/>
      <c r="BJ196" s="1290"/>
      <c r="BK196" s="1290"/>
      <c r="BL196" s="1290"/>
      <c r="BM196" s="1290"/>
      <c r="BN196" s="1290"/>
    </row>
    <row r="197" spans="1:66" s="1117" customFormat="1">
      <c r="B197" s="1154"/>
      <c r="C197" s="1154"/>
      <c r="D197" s="1154"/>
      <c r="E197" s="1154"/>
      <c r="F197" s="1154"/>
      <c r="G197" s="1154"/>
      <c r="H197" s="1154"/>
      <c r="I197" s="1154"/>
      <c r="J197" s="1154"/>
    </row>
    <row r="198" spans="1:66" s="1117" customFormat="1">
      <c r="D198" s="1119"/>
    </row>
    <row r="199" spans="1:66" s="1117" customFormat="1">
      <c r="D199" s="1119"/>
    </row>
    <row r="200" spans="1:66" s="1117" customFormat="1">
      <c r="D200" s="1119"/>
    </row>
    <row r="201" spans="1:66" s="1117" customFormat="1">
      <c r="D201" s="1119"/>
    </row>
    <row r="202" spans="1:66" s="1117" customFormat="1">
      <c r="D202" s="1119"/>
    </row>
    <row r="203" spans="1:66" s="1117" customFormat="1">
      <c r="D203" s="1119"/>
    </row>
    <row r="204" spans="1:66" s="1117" customFormat="1">
      <c r="D204" s="1119"/>
    </row>
    <row r="205" spans="1:66" s="1117" customFormat="1">
      <c r="D205" s="1119"/>
    </row>
    <row r="206" spans="1:66" s="1117" customFormat="1">
      <c r="D206" s="1119"/>
    </row>
    <row r="207" spans="1:66" s="1117" customFormat="1">
      <c r="D207" s="1119"/>
    </row>
    <row r="208" spans="1:66" s="1117" customFormat="1"/>
    <row r="209" spans="2:3" s="1117" customFormat="1">
      <c r="B209" s="1119"/>
      <c r="C209" s="1119"/>
    </row>
    <row r="210" spans="2:3" s="1117" customFormat="1">
      <c r="B210" s="1118"/>
      <c r="C210" s="1118"/>
    </row>
    <row r="211" spans="2:3" s="1117" customFormat="1">
      <c r="B211" s="1118"/>
      <c r="C211" s="1118"/>
    </row>
    <row r="212" spans="2:3" s="1117" customFormat="1">
      <c r="B212" s="1118"/>
      <c r="C212" s="1118"/>
    </row>
    <row r="213" spans="2:3" s="1117" customFormat="1">
      <c r="B213" s="1118"/>
      <c r="C213" s="1118"/>
    </row>
    <row r="214" spans="2:3" s="1117" customFormat="1">
      <c r="B214" s="1118"/>
      <c r="C214" s="1118"/>
    </row>
    <row r="215" spans="2:3" s="1117" customFormat="1">
      <c r="B215" s="1118"/>
      <c r="C215" s="1118"/>
    </row>
    <row r="216" spans="2:3" s="1117" customFormat="1">
      <c r="B216" s="1118"/>
      <c r="C216" s="1118"/>
    </row>
    <row r="217" spans="2:3" s="1117" customFormat="1">
      <c r="B217" s="1118"/>
      <c r="C217" s="1118"/>
    </row>
    <row r="218" spans="2:3" s="1117" customFormat="1">
      <c r="B218" s="1118"/>
      <c r="C218" s="1118"/>
    </row>
    <row r="219" spans="2:3" s="1117" customFormat="1">
      <c r="B219" s="1119"/>
      <c r="C219" s="1119"/>
    </row>
    <row r="220" spans="2:3" s="1117" customFormat="1"/>
    <row r="221" spans="2:3" s="1117" customFormat="1"/>
    <row r="222" spans="2:3" s="1117" customFormat="1"/>
    <row r="223" spans="2:3" s="1117" customFormat="1"/>
    <row r="224" spans="2:3" s="1117" customFormat="1"/>
    <row r="225" s="1117" customFormat="1"/>
    <row r="226" s="1117" customFormat="1"/>
    <row r="227" s="1117" customFormat="1"/>
    <row r="228" s="1117" customFormat="1"/>
    <row r="229" s="1117" customFormat="1"/>
    <row r="230" s="1117" customFormat="1"/>
    <row r="231" s="1117" customFormat="1"/>
    <row r="232" s="1117" customFormat="1"/>
    <row r="233" s="1117" customFormat="1"/>
    <row r="234" s="1117" customFormat="1"/>
    <row r="235" s="1117" customFormat="1"/>
    <row r="236" s="1117" customFormat="1"/>
    <row r="237" s="1117" customFormat="1"/>
    <row r="238" s="1117" customFormat="1"/>
    <row r="239" s="1117" customFormat="1"/>
    <row r="240" s="1117" customFormat="1"/>
    <row r="241" s="1117" customFormat="1"/>
    <row r="242" s="1117" customFormat="1"/>
    <row r="243" s="1117" customFormat="1"/>
    <row r="244" s="1117" customFormat="1"/>
    <row r="245" s="1117" customFormat="1"/>
    <row r="246" s="1117" customFormat="1"/>
    <row r="247" s="1117" customFormat="1"/>
    <row r="248" s="1117" customFormat="1"/>
    <row r="249" s="1117" customFormat="1"/>
    <row r="250" s="1117" customFormat="1"/>
    <row r="251" s="1117" customFormat="1"/>
    <row r="252" s="1117" customFormat="1"/>
    <row r="253" s="1117" customFormat="1"/>
    <row r="254" s="1117" customFormat="1"/>
    <row r="255" s="1117" customFormat="1"/>
    <row r="256" s="1117" customFormat="1"/>
    <row r="257" s="1117" customFormat="1"/>
    <row r="258" s="1117" customFormat="1"/>
    <row r="259" s="1117" customFormat="1"/>
    <row r="260" s="1117" customFormat="1"/>
    <row r="261" s="1117" customFormat="1"/>
    <row r="262" s="1117" customFormat="1"/>
    <row r="263" s="1117" customFormat="1"/>
    <row r="264" s="1117" customFormat="1"/>
    <row r="265" s="1117" customFormat="1"/>
    <row r="266" s="1117" customFormat="1"/>
    <row r="267" s="1117" customFormat="1"/>
    <row r="268" s="1117" customFormat="1"/>
    <row r="269" s="1117" customFormat="1"/>
    <row r="270" s="1117" customFormat="1"/>
    <row r="271" s="1117" customFormat="1"/>
    <row r="272" s="1117" customFormat="1"/>
    <row r="273" s="1117" customFormat="1"/>
    <row r="274" s="1117" customFormat="1"/>
    <row r="275" s="1117" customFormat="1"/>
    <row r="276" s="1117" customFormat="1"/>
    <row r="277" s="1117" customFormat="1"/>
    <row r="278" s="1117" customFormat="1"/>
    <row r="279" s="1117" customFormat="1"/>
    <row r="280" s="1117" customFormat="1"/>
    <row r="281" s="1117" customFormat="1"/>
    <row r="282" s="1117" customFormat="1"/>
    <row r="283" s="1117" customFormat="1"/>
    <row r="284" s="1117" customFormat="1"/>
    <row r="285" s="1117" customFormat="1"/>
    <row r="286" s="1117" customFormat="1"/>
    <row r="287" s="1117" customFormat="1"/>
    <row r="288" s="1117" customFormat="1"/>
    <row r="289" s="1117" customFormat="1"/>
    <row r="290" s="1117" customFormat="1"/>
    <row r="291" s="1117" customFormat="1"/>
    <row r="292" s="1117" customFormat="1"/>
    <row r="293" s="1117" customFormat="1"/>
    <row r="294" s="1117" customFormat="1"/>
    <row r="295" s="1117" customFormat="1"/>
    <row r="296" s="1117" customFormat="1"/>
    <row r="297" s="1117" customFormat="1"/>
    <row r="298" s="1117" customFormat="1"/>
    <row r="299" s="1117" customFormat="1"/>
    <row r="300" s="1117" customFormat="1"/>
    <row r="301" s="1117" customFormat="1"/>
    <row r="302" s="1117" customFormat="1"/>
    <row r="303" s="1117" customFormat="1"/>
    <row r="304" s="1117" customFormat="1"/>
    <row r="305" s="1117" customFormat="1"/>
    <row r="306" s="1117" customFormat="1"/>
    <row r="307" s="1117" customFormat="1"/>
    <row r="308" s="1117" customFormat="1"/>
    <row r="309" s="1117" customFormat="1"/>
    <row r="310" s="1117" customFormat="1"/>
    <row r="311" s="1117" customFormat="1"/>
    <row r="312" s="1117" customFormat="1"/>
    <row r="313" s="1117" customFormat="1"/>
    <row r="314" s="1117" customFormat="1"/>
    <row r="315" s="1117" customFormat="1"/>
    <row r="316" s="1117" customFormat="1"/>
    <row r="317" s="1117" customFormat="1"/>
    <row r="318" s="1117" customFormat="1"/>
    <row r="319" s="1117" customFormat="1"/>
    <row r="320" s="1117" customFormat="1"/>
    <row r="321" s="1117" customFormat="1"/>
    <row r="322" s="1117" customFormat="1"/>
    <row r="323" s="1117" customFormat="1"/>
    <row r="324" s="1117" customFormat="1"/>
    <row r="325" s="1117" customFormat="1"/>
    <row r="326" s="1117" customFormat="1"/>
    <row r="327" s="1117" customFormat="1"/>
    <row r="328" s="1117" customFormat="1"/>
    <row r="329" s="1117" customFormat="1"/>
    <row r="330" s="1117" customFormat="1"/>
    <row r="331" s="1117" customFormat="1"/>
    <row r="332" s="1117" customFormat="1"/>
    <row r="333" s="1117" customFormat="1"/>
    <row r="334" s="1117" customFormat="1"/>
    <row r="335" s="1117" customFormat="1"/>
    <row r="336" s="1117" customFormat="1"/>
    <row r="337" s="1117" customFormat="1"/>
    <row r="338" s="1117" customFormat="1"/>
  </sheetData>
  <phoneticPr fontId="0" type="noConversion"/>
  <dataValidations disablePrompts="1" count="3">
    <dataValidation type="list" allowBlank="1" showInputMessage="1" showErrorMessage="1" sqref="F120">
      <formula1>"USER:EUR +100,-,"</formula1>
    </dataValidation>
    <dataValidation type="list" errorStyle="information" allowBlank="1" showInputMessage="1" showErrorMessage="1" errorTitle="Values available" error="Please use 25,100,300,500,750 or 1000 as input" sqref="K126:K129">
      <formula1>"25,100,300,500,750,1000"</formula1>
    </dataValidation>
    <dataValidation type="list" errorStyle="information" allowBlank="1" showInputMessage="1" showErrorMessage="1" errorTitle="Values available" error="Please use 25,100,300,500,750 or 1000 as input" sqref="K133:K135">
      <formula1>"100,500"</formula1>
    </dataValidation>
  </dataValidation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rgb="FFFFFFCC"/>
  </sheetPr>
  <dimension ref="A1:AI102"/>
  <sheetViews>
    <sheetView zoomScale="90" zoomScaleNormal="90" workbookViewId="0"/>
  </sheetViews>
  <sheetFormatPr baseColWidth="10" defaultColWidth="9.140625" defaultRowHeight="17.100000000000001" customHeight="1"/>
  <cols>
    <col min="1" max="1" width="3.7109375" style="1336" customWidth="1"/>
    <col min="2" max="2" width="22.140625" style="1336" customWidth="1"/>
    <col min="3" max="3" width="16.140625" style="1336" customWidth="1"/>
    <col min="4" max="4" width="9.140625" style="1336"/>
    <col min="5" max="5" width="10.7109375" style="1336" bestFit="1" customWidth="1"/>
    <col min="6" max="9" width="9.140625" style="1336"/>
    <col min="10" max="10" width="9.140625" style="1336" customWidth="1"/>
    <col min="11" max="11" width="11.28515625" style="1336" customWidth="1"/>
    <col min="12" max="13" width="9.140625" style="1336"/>
    <col min="14" max="14" width="10.7109375" style="1336" customWidth="1"/>
    <col min="15" max="16" width="9.140625" style="1336"/>
    <col min="17" max="17" width="8.140625" style="1336" customWidth="1"/>
    <col min="18" max="18" width="9.140625" style="1336" customWidth="1"/>
    <col min="19" max="16384" width="9.140625" style="1336"/>
  </cols>
  <sheetData>
    <row r="1" spans="1:16" ht="17.100000000000001" customHeight="1">
      <c r="A1" s="1335"/>
    </row>
    <row r="2" spans="1:16" ht="17.100000000000001" customHeight="1">
      <c r="B2" s="1337"/>
    </row>
    <row r="3" spans="1:16" ht="17.100000000000001" customHeight="1">
      <c r="B3" s="1337"/>
    </row>
    <row r="4" spans="1:16" ht="17.100000000000001" customHeight="1">
      <c r="B4" s="1186" t="s">
        <v>1518</v>
      </c>
    </row>
    <row r="5" spans="1:16" ht="17.100000000000001" customHeight="1">
      <c r="B5" s="1337"/>
    </row>
    <row r="6" spans="1:16" ht="17.100000000000001" customHeight="1">
      <c r="B6" s="1337"/>
    </row>
    <row r="7" spans="1:16" ht="17.100000000000001" customHeight="1">
      <c r="B7" s="1338"/>
      <c r="C7" s="1339"/>
      <c r="D7" s="1339"/>
      <c r="E7" s="1339"/>
      <c r="F7" s="1339"/>
      <c r="G7" s="1339"/>
      <c r="H7" s="1339"/>
      <c r="I7" s="1339"/>
      <c r="J7" s="1339"/>
      <c r="K7" s="1339"/>
      <c r="L7" s="1339"/>
      <c r="M7" s="1339"/>
      <c r="N7" s="1339"/>
      <c r="O7" s="1339"/>
      <c r="P7" s="1339"/>
    </row>
    <row r="8" spans="1:16" ht="17.100000000000001" customHeight="1">
      <c r="O8" s="1339"/>
      <c r="P8" s="1339"/>
    </row>
    <row r="9" spans="1:16" ht="17.100000000000001" customHeight="1">
      <c r="O9" s="1339"/>
      <c r="P9" s="1339"/>
    </row>
    <row r="10" spans="1:16" ht="17.100000000000001" customHeight="1">
      <c r="O10" s="1339"/>
      <c r="P10" s="1339"/>
    </row>
    <row r="11" spans="1:16" ht="17.100000000000001" customHeight="1">
      <c r="O11" s="1339"/>
      <c r="P11" s="1339"/>
    </row>
    <row r="12" spans="1:16" ht="17.100000000000001" customHeight="1">
      <c r="O12" s="1339"/>
      <c r="P12" s="1339"/>
    </row>
    <row r="13" spans="1:16" ht="17.100000000000001" customHeight="1">
      <c r="O13" s="1339"/>
      <c r="P13" s="1339"/>
    </row>
    <row r="14" spans="1:16" ht="17.100000000000001" customHeight="1">
      <c r="O14" s="1339"/>
      <c r="P14" s="1339"/>
    </row>
    <row r="15" spans="1:16" ht="17.100000000000001" customHeight="1">
      <c r="O15" s="1339"/>
      <c r="P15" s="1339"/>
    </row>
    <row r="16" spans="1:16" ht="17.100000000000001" customHeight="1">
      <c r="O16" s="1339"/>
      <c r="P16" s="1339"/>
    </row>
    <row r="17" spans="2:16" ht="17.100000000000001" customHeight="1">
      <c r="O17" s="1339"/>
      <c r="P17" s="1339"/>
    </row>
    <row r="18" spans="2:16" ht="17.100000000000001" customHeight="1">
      <c r="O18" s="1339"/>
      <c r="P18" s="1339"/>
    </row>
    <row r="19" spans="2:16" ht="17.100000000000001" customHeight="1">
      <c r="O19" s="1339"/>
      <c r="P19" s="1339"/>
    </row>
    <row r="20" spans="2:16" ht="17.100000000000001" customHeight="1">
      <c r="O20" s="1339"/>
      <c r="P20" s="1339"/>
    </row>
    <row r="21" spans="2:16" ht="17.100000000000001" customHeight="1">
      <c r="O21" s="1339"/>
      <c r="P21" s="1339"/>
    </row>
    <row r="22" spans="2:16" ht="17.100000000000001" customHeight="1">
      <c r="O22" s="1339"/>
      <c r="P22" s="1339"/>
    </row>
    <row r="23" spans="2:16" ht="17.100000000000001" customHeight="1">
      <c r="C23" s="1339"/>
      <c r="E23" s="1340"/>
      <c r="L23" s="1341" t="s">
        <v>526</v>
      </c>
      <c r="M23" s="1339"/>
      <c r="N23" s="1339"/>
      <c r="O23" s="1339"/>
      <c r="P23" s="1339"/>
    </row>
    <row r="24" spans="2:16" ht="17.100000000000001" customHeight="1">
      <c r="B24" s="1342" t="s">
        <v>1926</v>
      </c>
      <c r="C24" s="1339"/>
      <c r="D24" s="1339"/>
      <c r="E24" s="1339"/>
      <c r="F24" s="1339"/>
      <c r="G24" s="1339"/>
      <c r="H24" s="1339"/>
      <c r="I24" s="1339"/>
      <c r="J24" s="1339"/>
      <c r="K24" s="1339"/>
      <c r="L24" s="1339"/>
      <c r="M24" s="1339"/>
      <c r="N24" s="1339"/>
      <c r="O24" s="1339"/>
      <c r="P24" s="1339"/>
    </row>
    <row r="25" spans="2:16" ht="17.100000000000001" customHeight="1">
      <c r="B25" s="1339"/>
      <c r="C25" s="1339"/>
      <c r="D25" s="1339"/>
      <c r="E25" s="1339"/>
      <c r="F25" s="1339"/>
      <c r="G25" s="1339"/>
      <c r="H25" s="1339"/>
      <c r="I25" s="1339"/>
      <c r="J25" s="1339"/>
      <c r="K25" s="1339"/>
      <c r="L25" s="1339"/>
      <c r="M25" s="1339"/>
      <c r="N25" s="1339"/>
      <c r="O25" s="1339"/>
      <c r="P25" s="1339"/>
    </row>
    <row r="26" spans="2:16" ht="17.100000000000001" customHeight="1">
      <c r="B26" s="1339"/>
      <c r="C26" s="1339"/>
      <c r="D26" s="1339"/>
      <c r="E26" s="1339"/>
      <c r="F26" s="1339"/>
      <c r="G26" s="1339"/>
      <c r="H26" s="1339"/>
      <c r="I26" s="1339"/>
      <c r="J26" s="1339"/>
      <c r="K26" s="1339"/>
      <c r="L26" s="1339"/>
      <c r="M26" s="1339"/>
      <c r="N26" s="1339"/>
      <c r="O26" s="1339"/>
      <c r="P26" s="1339"/>
    </row>
    <row r="27" spans="2:16" ht="17.100000000000001" customHeight="1">
      <c r="B27" s="1339"/>
      <c r="C27" s="1339"/>
      <c r="D27" s="1339"/>
      <c r="E27" s="1339"/>
      <c r="F27" s="1339"/>
      <c r="G27" s="1339"/>
      <c r="H27" s="1339"/>
      <c r="I27" s="1339"/>
      <c r="J27" s="1339"/>
      <c r="K27" s="1339"/>
      <c r="L27" s="1339"/>
      <c r="M27" s="1339"/>
      <c r="N27" s="1339"/>
      <c r="O27" s="1339"/>
      <c r="P27" s="1339"/>
    </row>
    <row r="28" spans="2:16" ht="17.100000000000001" customHeight="1">
      <c r="B28" s="1339"/>
      <c r="C28" s="1339"/>
      <c r="D28" s="1339"/>
      <c r="E28" s="1339"/>
      <c r="F28" s="1339"/>
      <c r="G28" s="1339"/>
      <c r="H28" s="1339"/>
      <c r="I28" s="1339"/>
      <c r="J28" s="1339"/>
      <c r="K28" s="1339"/>
      <c r="L28" s="1339"/>
      <c r="M28" s="1339"/>
      <c r="N28" s="1339"/>
      <c r="O28" s="1339"/>
      <c r="P28" s="1339"/>
    </row>
    <row r="29" spans="2:16" ht="17.100000000000001" customHeight="1">
      <c r="B29" s="1339"/>
      <c r="C29" s="1339"/>
      <c r="D29" s="1339"/>
      <c r="E29" s="1339"/>
      <c r="F29" s="1339"/>
      <c r="G29" s="1339"/>
      <c r="H29" s="1339"/>
      <c r="I29" s="1339"/>
      <c r="J29" s="1339"/>
      <c r="K29" s="1339"/>
      <c r="L29" s="1339"/>
      <c r="M29" s="1339"/>
      <c r="N29" s="1339"/>
      <c r="O29" s="1339"/>
      <c r="P29" s="1339"/>
    </row>
    <row r="30" spans="2:16" ht="17.100000000000001" customHeight="1">
      <c r="B30" s="1339"/>
      <c r="C30" s="1339"/>
      <c r="D30" s="1339"/>
      <c r="E30" s="1339"/>
      <c r="F30" s="1339"/>
      <c r="G30" s="1339"/>
      <c r="H30" s="1339"/>
      <c r="I30" s="1339"/>
      <c r="J30" s="1339"/>
      <c r="K30" s="1339"/>
      <c r="L30" s="1339"/>
      <c r="M30" s="1339"/>
      <c r="N30" s="1339"/>
      <c r="O30" s="1339"/>
      <c r="P30" s="1339"/>
    </row>
    <row r="31" spans="2:16" ht="17.100000000000001" customHeight="1">
      <c r="B31" s="1339"/>
      <c r="C31" s="1339"/>
      <c r="D31" s="1339"/>
      <c r="E31" s="1339"/>
      <c r="F31" s="1339"/>
      <c r="G31" s="1339"/>
      <c r="H31" s="1339"/>
      <c r="I31" s="1339"/>
      <c r="J31" s="1339"/>
      <c r="K31" s="1339"/>
      <c r="L31" s="1339"/>
      <c r="M31" s="1339"/>
      <c r="N31" s="1339"/>
      <c r="O31" s="1339"/>
      <c r="P31" s="1339"/>
    </row>
    <row r="32" spans="2:16" ht="17.100000000000001" customHeight="1">
      <c r="B32" s="1339"/>
      <c r="C32" s="1339"/>
      <c r="D32" s="1339"/>
      <c r="E32" s="1339"/>
      <c r="F32" s="1339"/>
      <c r="G32" s="1339"/>
      <c r="H32" s="1339"/>
      <c r="I32" s="1339"/>
      <c r="J32" s="1339"/>
      <c r="K32" s="1339"/>
      <c r="L32" s="1339"/>
      <c r="M32" s="1339"/>
      <c r="N32" s="1339"/>
      <c r="O32" s="1339"/>
      <c r="P32" s="1339"/>
    </row>
    <row r="33" spans="1:35" ht="17.100000000000001" customHeight="1">
      <c r="B33" s="1339"/>
      <c r="C33" s="1339"/>
      <c r="D33" s="1339"/>
      <c r="E33" s="1339"/>
      <c r="F33" s="1339"/>
      <c r="G33" s="1339"/>
      <c r="H33" s="1339"/>
      <c r="I33" s="1339"/>
      <c r="J33" s="1339"/>
      <c r="K33" s="1339"/>
      <c r="L33" s="1339"/>
      <c r="M33" s="1339"/>
      <c r="N33" s="1339"/>
      <c r="O33" s="1339"/>
      <c r="P33" s="1339"/>
    </row>
    <row r="34" spans="1:35" ht="17.100000000000001" customHeight="1">
      <c r="B34" s="1339"/>
      <c r="C34" s="1339"/>
      <c r="D34" s="1339"/>
      <c r="E34" s="1339"/>
      <c r="F34" s="1339"/>
      <c r="G34" s="1339"/>
      <c r="H34" s="1339"/>
      <c r="I34" s="1339"/>
      <c r="J34" s="1339"/>
      <c r="K34" s="1339"/>
      <c r="L34" s="1339"/>
      <c r="M34" s="1339"/>
      <c r="N34" s="1339"/>
      <c r="O34" s="1339"/>
      <c r="P34" s="1339"/>
    </row>
    <row r="35" spans="1:35" ht="12.75">
      <c r="G35" s="1339"/>
      <c r="H35" s="1339"/>
      <c r="I35" s="1339"/>
      <c r="J35" s="1339"/>
      <c r="K35" s="1339"/>
      <c r="L35" s="1339"/>
      <c r="M35" s="1339"/>
      <c r="N35" s="1339"/>
      <c r="O35" s="1339"/>
      <c r="P35" s="1339"/>
    </row>
    <row r="36" spans="1:35" s="1339" customFormat="1" ht="17.100000000000001" customHeight="1"/>
    <row r="37" spans="1:35" ht="17.100000000000001" customHeight="1">
      <c r="A37" s="1339"/>
      <c r="B37" s="2051"/>
      <c r="C37" s="2052"/>
      <c r="D37" s="2052"/>
      <c r="E37" s="2052"/>
      <c r="F37" s="2053"/>
      <c r="G37" s="1339"/>
      <c r="H37" s="1339"/>
      <c r="I37" s="1339"/>
      <c r="J37" s="1339"/>
      <c r="K37" s="1339"/>
      <c r="L37" s="1339"/>
      <c r="M37" s="1339"/>
      <c r="N37" s="1339"/>
      <c r="O37" s="1339"/>
      <c r="P37" s="1339"/>
      <c r="R37" s="1339"/>
      <c r="Z37" s="1339"/>
      <c r="AA37" s="1339"/>
      <c r="AB37" s="1339"/>
      <c r="AC37" s="1339"/>
      <c r="AD37" s="1339"/>
      <c r="AE37" s="1339"/>
      <c r="AF37" s="1339"/>
      <c r="AG37" s="1339"/>
      <c r="AH37" s="1339"/>
    </row>
    <row r="38" spans="1:35" ht="17.100000000000001" customHeight="1">
      <c r="A38" s="1339"/>
      <c r="B38" s="2054" t="s">
        <v>1836</v>
      </c>
      <c r="C38" s="2055"/>
      <c r="D38" s="2055"/>
      <c r="E38" s="2055"/>
      <c r="F38" s="2056"/>
      <c r="G38" s="1339"/>
      <c r="H38" s="1339"/>
      <c r="I38" s="1339"/>
      <c r="J38" s="1339"/>
      <c r="K38" s="1339"/>
      <c r="L38" s="1339"/>
      <c r="M38" s="1339"/>
      <c r="N38" s="1339"/>
      <c r="O38" s="1339"/>
      <c r="P38" s="1339"/>
      <c r="R38" s="1339"/>
      <c r="Z38" s="1339"/>
      <c r="AA38" s="1339"/>
      <c r="AB38" s="1339"/>
      <c r="AC38" s="1339"/>
      <c r="AD38" s="1339"/>
      <c r="AE38" s="1339"/>
      <c r="AF38" s="1339"/>
      <c r="AG38" s="1339"/>
      <c r="AH38" s="1339"/>
    </row>
    <row r="39" spans="1:35" ht="17.100000000000001" customHeight="1">
      <c r="A39" s="1339"/>
      <c r="B39" s="2057" t="s">
        <v>1346</v>
      </c>
      <c r="C39" s="2058" t="s">
        <v>1347</v>
      </c>
      <c r="D39" s="2059" t="s">
        <v>1348</v>
      </c>
      <c r="E39" s="2059"/>
      <c r="F39" s="2056"/>
      <c r="G39" s="1339"/>
      <c r="H39" s="1339"/>
      <c r="I39" s="1339"/>
      <c r="J39" s="1339"/>
      <c r="K39" s="1339"/>
      <c r="L39" s="1339"/>
      <c r="M39" s="1339"/>
      <c r="N39" s="1339"/>
      <c r="O39" s="1339"/>
      <c r="P39" s="1339"/>
      <c r="R39" s="1339"/>
      <c r="AA39" s="1339"/>
      <c r="AB39" s="1339"/>
      <c r="AC39" s="1339"/>
      <c r="AD39" s="1339"/>
      <c r="AE39" s="1339"/>
      <c r="AF39" s="1339"/>
      <c r="AG39" s="1339"/>
      <c r="AH39" s="1339"/>
    </row>
    <row r="40" spans="1:35" ht="17.100000000000001" customHeight="1">
      <c r="A40" s="1339"/>
      <c r="B40" s="2071" t="s">
        <v>1463</v>
      </c>
      <c r="C40" s="2073" t="e">
        <f ca="1">IF(B40="","",_xll.BDP($B40,C$39))</f>
        <v>#NAME?</v>
      </c>
      <c r="D40" s="2402" t="e">
        <f ca="1">IF(B40="","",_xll.BDP($B40,D$39))</f>
        <v>#NAME?</v>
      </c>
      <c r="E40" s="2403"/>
      <c r="F40" s="2056"/>
      <c r="G40" s="1339"/>
      <c r="H40" s="1339"/>
      <c r="I40" s="1339"/>
      <c r="J40" s="1339"/>
      <c r="K40" s="1339"/>
      <c r="L40" s="1339"/>
      <c r="M40" s="1339"/>
      <c r="N40" s="1339"/>
      <c r="O40" s="1339"/>
      <c r="P40" s="1339"/>
      <c r="R40" s="1339"/>
      <c r="AH40" s="1339"/>
      <c r="AI40" s="1339"/>
    </row>
    <row r="41" spans="1:35" ht="17.100000000000001" customHeight="1">
      <c r="A41" s="1339"/>
      <c r="B41" s="2071"/>
      <c r="C41" s="2060" t="str">
        <f>IF(B41="","",_xll.BDP($B41,C$39))</f>
        <v/>
      </c>
      <c r="D41" s="2402" t="str">
        <f>IF(B41="","",_xll.BDP($B41,D$39))</f>
        <v/>
      </c>
      <c r="E41" s="2403"/>
      <c r="F41" s="2056"/>
      <c r="G41" s="1339"/>
      <c r="H41" s="1339"/>
      <c r="I41" s="1339"/>
      <c r="J41" s="1339"/>
      <c r="K41" s="1339"/>
      <c r="L41" s="1339"/>
      <c r="M41" s="1339"/>
      <c r="N41" s="1339"/>
      <c r="O41" s="1339"/>
      <c r="P41" s="1339"/>
      <c r="R41" s="1339"/>
      <c r="AH41" s="1339"/>
      <c r="AI41" s="1339"/>
    </row>
    <row r="42" spans="1:35" ht="17.100000000000001" customHeight="1">
      <c r="A42" s="1339"/>
      <c r="B42" s="2061" t="s">
        <v>1816</v>
      </c>
      <c r="C42" s="2072" t="s">
        <v>1925</v>
      </c>
      <c r="D42" s="2062"/>
      <c r="E42" s="2055"/>
      <c r="F42" s="2056"/>
      <c r="G42" s="1339"/>
      <c r="H42" s="1339"/>
      <c r="I42" s="1339"/>
      <c r="J42" s="1339"/>
      <c r="K42" s="1339"/>
      <c r="L42" s="1339"/>
      <c r="M42" s="1339"/>
      <c r="N42" s="1339"/>
      <c r="O42" s="1339"/>
      <c r="P42" s="1339"/>
      <c r="R42" s="1339"/>
      <c r="AH42" s="1339"/>
      <c r="AI42" s="1339"/>
    </row>
    <row r="43" spans="1:35" ht="17.100000000000001" customHeight="1">
      <c r="A43" s="1339"/>
      <c r="B43" s="2063"/>
      <c r="C43" s="2055"/>
      <c r="D43" s="2055"/>
      <c r="E43" s="2055"/>
      <c r="F43" s="2056"/>
      <c r="G43" s="1339"/>
      <c r="H43" s="1339"/>
      <c r="I43" s="1339"/>
      <c r="J43" s="1339"/>
      <c r="K43" s="1339"/>
      <c r="L43" s="1339"/>
      <c r="M43" s="1339"/>
      <c r="N43" s="1339"/>
      <c r="O43" s="1339"/>
      <c r="P43" s="1339"/>
      <c r="R43" s="1339"/>
      <c r="AH43" s="1339"/>
      <c r="AI43" s="1339"/>
    </row>
    <row r="44" spans="1:35" ht="17.100000000000001" customHeight="1">
      <c r="A44" s="1339"/>
      <c r="B44" s="2063"/>
      <c r="C44" s="2055"/>
      <c r="D44" s="2055"/>
      <c r="E44" s="2055"/>
      <c r="F44" s="2056"/>
      <c r="G44" s="1339"/>
      <c r="H44" s="1339"/>
      <c r="I44" s="1339"/>
      <c r="J44" s="1339"/>
      <c r="K44" s="1339"/>
      <c r="L44" s="1339"/>
      <c r="M44" s="1339"/>
      <c r="N44" s="1339"/>
      <c r="O44" s="1339"/>
      <c r="P44" s="1339"/>
      <c r="R44" s="1339"/>
      <c r="AH44" s="1339"/>
      <c r="AI44" s="1339"/>
    </row>
    <row r="45" spans="1:35" ht="17.100000000000001" customHeight="1">
      <c r="A45" s="1339"/>
      <c r="B45" s="2071" t="s">
        <v>1463</v>
      </c>
      <c r="C45" s="2060" t="e">
        <f ca="1">_xll.BDP($B45,C$39)</f>
        <v>#NAME?</v>
      </c>
      <c r="D45" s="2402" t="e">
        <f ca="1">IF(B45="","",_xll.BDP($B45,D$39))</f>
        <v>#NAME?</v>
      </c>
      <c r="E45" s="2403"/>
      <c r="F45" s="2056"/>
      <c r="G45" s="1339"/>
      <c r="H45" s="1339"/>
      <c r="I45" s="1339"/>
      <c r="J45" s="1339"/>
      <c r="K45" s="1339"/>
      <c r="L45" s="1339"/>
      <c r="M45" s="1339"/>
      <c r="N45" s="1339"/>
      <c r="O45" s="1339"/>
      <c r="P45" s="1339"/>
      <c r="R45" s="1339"/>
      <c r="AH45" s="1339"/>
      <c r="AI45" s="1339"/>
    </row>
    <row r="46" spans="1:35" ht="17.100000000000001" customHeight="1">
      <c r="A46" s="1339"/>
      <c r="B46" s="2071"/>
      <c r="C46" s="2064" t="str">
        <f>_xll.BDP($B46,C$39)</f>
        <v>#N/A Invalid Security</v>
      </c>
      <c r="D46" s="2065" t="str">
        <f>_xll.BDP($B46,D$39)</f>
        <v>#N/A Invalid Security</v>
      </c>
      <c r="E46" s="2066"/>
      <c r="F46" s="2056"/>
      <c r="G46" s="1339"/>
      <c r="H46" s="1339"/>
      <c r="I46" s="1339"/>
      <c r="J46" s="1339"/>
      <c r="K46" s="1339"/>
      <c r="L46" s="1339"/>
      <c r="M46" s="1339"/>
      <c r="N46" s="1339"/>
      <c r="O46" s="1339"/>
      <c r="P46" s="1339"/>
      <c r="R46" s="1339"/>
      <c r="AH46" s="1339"/>
      <c r="AI46" s="1339"/>
    </row>
    <row r="47" spans="1:35" ht="17.100000000000001" customHeight="1">
      <c r="A47" s="1339"/>
      <c r="B47" s="2067" t="s">
        <v>1817</v>
      </c>
      <c r="C47" s="2055"/>
      <c r="D47" s="2055"/>
      <c r="E47" s="2055"/>
      <c r="F47" s="2056"/>
      <c r="G47" s="1339"/>
      <c r="H47" s="1339"/>
      <c r="I47" s="1339"/>
      <c r="J47" s="1339"/>
      <c r="K47" s="1339"/>
      <c r="L47" s="1339"/>
      <c r="M47" s="1339"/>
      <c r="N47" s="1339"/>
      <c r="O47" s="1339"/>
      <c r="P47" s="1339"/>
      <c r="R47" s="1339"/>
      <c r="AH47" s="1339"/>
      <c r="AI47" s="1339"/>
    </row>
    <row r="48" spans="1:35" ht="17.100000000000001" customHeight="1">
      <c r="A48" s="1339"/>
      <c r="B48" s="2068"/>
      <c r="C48" s="2069"/>
      <c r="D48" s="2069"/>
      <c r="E48" s="2069"/>
      <c r="F48" s="2070"/>
      <c r="G48" s="1339"/>
      <c r="H48" s="1339"/>
      <c r="I48" s="1339"/>
      <c r="J48" s="1339"/>
      <c r="K48" s="1339"/>
      <c r="L48" s="1339"/>
      <c r="M48" s="1339"/>
      <c r="N48" s="1339"/>
      <c r="O48" s="1339"/>
      <c r="P48" s="1339"/>
      <c r="R48" s="1339"/>
      <c r="AH48" s="1339"/>
      <c r="AI48" s="1339"/>
    </row>
    <row r="49" spans="1:35" ht="17.100000000000001" customHeight="1">
      <c r="A49" s="1339"/>
      <c r="B49" s="1339"/>
      <c r="C49" s="1339"/>
      <c r="D49" s="1339"/>
      <c r="E49" s="1339"/>
      <c r="F49" s="1339"/>
      <c r="G49" s="1339"/>
      <c r="H49" s="1339"/>
      <c r="I49" s="1339"/>
      <c r="J49" s="1339"/>
      <c r="K49" s="1339"/>
      <c r="L49" s="1339"/>
      <c r="M49" s="1339"/>
      <c r="N49" s="1339"/>
      <c r="O49" s="1339"/>
      <c r="P49" s="1339"/>
      <c r="R49" s="1339"/>
      <c r="AH49" s="1339"/>
      <c r="AI49" s="1339"/>
    </row>
    <row r="50" spans="1:35" ht="17.100000000000001" customHeight="1">
      <c r="B50" s="1339"/>
      <c r="C50" s="1339"/>
      <c r="D50" s="1339"/>
      <c r="E50" s="1339"/>
      <c r="F50" s="1339"/>
      <c r="G50" s="1339"/>
      <c r="H50" s="1339"/>
      <c r="I50" s="1339"/>
      <c r="J50" s="1339"/>
      <c r="K50" s="1339"/>
      <c r="L50" s="1339"/>
      <c r="M50" s="1339"/>
      <c r="N50" s="1339"/>
      <c r="O50" s="1339"/>
      <c r="P50" s="1339"/>
      <c r="R50" s="1339"/>
      <c r="AH50" s="1339"/>
      <c r="AI50" s="1339"/>
    </row>
    <row r="51" spans="1:35" ht="17.100000000000001" customHeight="1">
      <c r="B51" s="1339"/>
      <c r="C51" s="1339"/>
      <c r="D51" s="1339"/>
      <c r="E51" s="1339"/>
      <c r="F51" s="1339"/>
      <c r="G51" s="1339"/>
      <c r="H51" s="1339"/>
      <c r="I51" s="1339"/>
      <c r="J51" s="1339"/>
      <c r="K51" s="1339"/>
      <c r="L51" s="1339"/>
      <c r="M51" s="1339"/>
      <c r="N51" s="1339"/>
      <c r="O51" s="1339"/>
      <c r="P51" s="1339"/>
      <c r="R51" s="1339"/>
      <c r="AH51" s="1339"/>
      <c r="AI51" s="1339"/>
    </row>
    <row r="52" spans="1:35" ht="17.100000000000001" customHeight="1">
      <c r="B52" s="1339"/>
      <c r="C52" s="1339"/>
      <c r="D52" s="1339"/>
      <c r="E52" s="1339"/>
      <c r="F52" s="1339"/>
      <c r="G52" s="1339"/>
      <c r="H52" s="1339"/>
      <c r="I52" s="1339"/>
      <c r="J52" s="1339"/>
      <c r="K52" s="1339"/>
      <c r="L52" s="1339"/>
      <c r="M52" s="1339"/>
      <c r="N52" s="1339"/>
      <c r="O52" s="1339"/>
      <c r="P52" s="1339"/>
      <c r="R52" s="1339"/>
      <c r="AH52" s="1339"/>
      <c r="AI52" s="1339"/>
    </row>
    <row r="53" spans="1:35" ht="17.100000000000001" customHeight="1">
      <c r="B53" s="1339"/>
      <c r="C53" s="1339"/>
      <c r="D53" s="1339"/>
      <c r="E53" s="1339"/>
      <c r="F53" s="1339"/>
      <c r="G53" s="1339"/>
      <c r="H53" s="1339"/>
      <c r="I53" s="1339"/>
      <c r="J53" s="1339"/>
      <c r="K53" s="1339"/>
      <c r="L53" s="1339"/>
      <c r="M53" s="1339"/>
      <c r="N53" s="1339"/>
      <c r="O53" s="1339"/>
      <c r="P53" s="1339"/>
      <c r="R53" s="1339"/>
      <c r="AH53" s="1339"/>
      <c r="AI53" s="1339"/>
    </row>
    <row r="54" spans="1:35" ht="17.100000000000001" customHeight="1">
      <c r="B54" s="1339"/>
      <c r="C54" s="1339"/>
      <c r="D54" s="1339"/>
      <c r="E54" s="1339"/>
      <c r="F54" s="1339"/>
      <c r="G54" s="1339"/>
      <c r="H54" s="1339"/>
      <c r="I54" s="1339"/>
      <c r="J54" s="1339"/>
      <c r="K54" s="1339"/>
      <c r="L54" s="1339"/>
      <c r="M54" s="1339"/>
      <c r="N54" s="1339"/>
      <c r="O54" s="1339"/>
      <c r="P54" s="1339"/>
      <c r="R54" s="1339"/>
      <c r="AH54" s="1339"/>
      <c r="AI54" s="1339"/>
    </row>
    <row r="55" spans="1:35" ht="17.100000000000001" customHeight="1">
      <c r="B55" s="1339"/>
      <c r="C55" s="1339"/>
      <c r="D55" s="1339"/>
      <c r="E55" s="1339"/>
      <c r="F55" s="1339"/>
      <c r="G55" s="1339"/>
      <c r="H55" s="1339"/>
      <c r="I55" s="1339"/>
      <c r="J55" s="1339"/>
      <c r="K55" s="1339"/>
      <c r="L55" s="1339"/>
      <c r="M55" s="1339"/>
      <c r="N55" s="1339"/>
      <c r="O55" s="1339"/>
      <c r="P55" s="1339"/>
      <c r="R55" s="1339"/>
      <c r="AH55" s="1339"/>
      <c r="AI55" s="1339"/>
    </row>
    <row r="56" spans="1:35" ht="17.100000000000001" customHeight="1">
      <c r="B56" s="1339"/>
      <c r="C56" s="1339"/>
      <c r="D56" s="1339"/>
      <c r="E56" s="1339"/>
      <c r="F56" s="1339"/>
      <c r="G56" s="1339"/>
      <c r="H56" s="1339"/>
      <c r="I56" s="1339"/>
      <c r="J56" s="1339"/>
      <c r="K56" s="1339"/>
      <c r="L56" s="1339"/>
      <c r="M56" s="1339"/>
      <c r="N56" s="1339"/>
      <c r="O56" s="1339"/>
      <c r="P56" s="1339"/>
      <c r="R56" s="1339"/>
      <c r="AH56" s="1339"/>
      <c r="AI56" s="1339"/>
    </row>
    <row r="57" spans="1:35" ht="17.100000000000001" customHeight="1">
      <c r="B57" s="1339"/>
      <c r="C57" s="1339"/>
      <c r="D57" s="1339"/>
      <c r="E57" s="1339"/>
      <c r="F57" s="1339"/>
      <c r="G57" s="1339"/>
      <c r="H57" s="1339"/>
      <c r="I57" s="1339"/>
      <c r="J57" s="1339"/>
      <c r="K57" s="1339"/>
      <c r="L57" s="1339"/>
      <c r="M57" s="1339"/>
      <c r="N57" s="1339"/>
      <c r="O57" s="1339"/>
      <c r="P57" s="1339"/>
      <c r="R57" s="1339"/>
      <c r="AH57" s="1339"/>
      <c r="AI57" s="1339"/>
    </row>
    <row r="58" spans="1:35" ht="17.100000000000001" customHeight="1">
      <c r="B58" s="1339"/>
      <c r="C58" s="1339"/>
      <c r="D58" s="1339"/>
      <c r="E58" s="1339"/>
      <c r="F58" s="1339"/>
      <c r="G58" s="1339"/>
      <c r="H58" s="1339"/>
      <c r="I58" s="1339"/>
      <c r="J58" s="1339"/>
      <c r="K58" s="1339"/>
      <c r="L58" s="1339"/>
      <c r="M58" s="1339"/>
      <c r="N58" s="1339"/>
      <c r="O58" s="1339"/>
      <c r="P58" s="1339"/>
      <c r="R58" s="1339"/>
      <c r="AH58" s="1339"/>
      <c r="AI58" s="1339"/>
    </row>
    <row r="59" spans="1:35" ht="17.100000000000001" customHeight="1">
      <c r="B59" s="1339"/>
      <c r="C59" s="1339"/>
      <c r="D59" s="1339"/>
      <c r="E59" s="1339"/>
      <c r="F59" s="1339"/>
      <c r="G59" s="1339"/>
      <c r="H59" s="1339"/>
      <c r="I59" s="1339"/>
      <c r="J59" s="1339"/>
      <c r="K59" s="1339"/>
      <c r="L59" s="1339"/>
      <c r="M59" s="1339"/>
      <c r="N59" s="1339"/>
      <c r="O59" s="1339"/>
      <c r="P59" s="1339"/>
      <c r="R59" s="1339"/>
      <c r="AH59" s="1339"/>
      <c r="AI59" s="1339"/>
    </row>
    <row r="60" spans="1:35" ht="17.100000000000001" customHeight="1">
      <c r="F60" s="1339"/>
      <c r="G60" s="1339"/>
      <c r="H60" s="1339"/>
      <c r="I60" s="1339"/>
      <c r="J60" s="1339"/>
      <c r="K60" s="1339"/>
      <c r="L60" s="1339"/>
      <c r="M60" s="1339"/>
      <c r="N60" s="1339"/>
      <c r="O60" s="1339"/>
      <c r="P60" s="1339"/>
      <c r="R60" s="1339"/>
      <c r="AH60" s="1339"/>
      <c r="AI60" s="1339"/>
    </row>
    <row r="61" spans="1:35" ht="17.100000000000001" customHeight="1">
      <c r="F61" s="1339"/>
      <c r="G61" s="1339"/>
      <c r="H61" s="1339"/>
      <c r="I61" s="1339"/>
      <c r="J61" s="1339"/>
      <c r="K61" s="1339"/>
      <c r="L61" s="1339"/>
      <c r="M61" s="1339"/>
      <c r="N61" s="1339"/>
      <c r="O61" s="1339"/>
      <c r="P61" s="1339"/>
      <c r="R61" s="1339"/>
      <c r="AH61" s="1339"/>
      <c r="AI61" s="1339"/>
    </row>
    <row r="62" spans="1:35" ht="17.100000000000001" customHeight="1">
      <c r="F62" s="1339"/>
      <c r="G62" s="1339"/>
      <c r="H62" s="1339"/>
      <c r="I62" s="1339"/>
      <c r="J62" s="1339"/>
      <c r="K62" s="1339"/>
      <c r="L62" s="1339"/>
      <c r="M62" s="1339"/>
      <c r="N62" s="1339"/>
      <c r="O62" s="1339"/>
      <c r="P62" s="1339"/>
      <c r="R62" s="1339"/>
      <c r="AH62" s="1339"/>
      <c r="AI62" s="1339"/>
    </row>
    <row r="63" spans="1:35" ht="17.100000000000001" customHeight="1">
      <c r="F63" s="1339"/>
      <c r="G63" s="1339"/>
      <c r="H63" s="1339"/>
      <c r="I63" s="1339"/>
      <c r="J63" s="1339"/>
      <c r="K63" s="1339"/>
      <c r="L63" s="1339"/>
      <c r="M63" s="1339"/>
      <c r="N63" s="1339"/>
      <c r="O63" s="1339"/>
      <c r="P63" s="1339"/>
      <c r="R63" s="1339"/>
      <c r="AH63" s="1339"/>
      <c r="AI63" s="1339"/>
    </row>
    <row r="64" spans="1:35" ht="17.100000000000001" customHeight="1">
      <c r="F64" s="1339"/>
      <c r="G64" s="1339"/>
      <c r="H64" s="1339"/>
      <c r="I64" s="1339"/>
      <c r="J64" s="1339"/>
      <c r="K64" s="1339"/>
      <c r="L64" s="1339"/>
      <c r="M64" s="1339"/>
      <c r="N64" s="1339"/>
      <c r="O64" s="1339"/>
      <c r="P64" s="1339"/>
      <c r="R64" s="1339"/>
      <c r="AH64" s="1339"/>
      <c r="AI64" s="1339"/>
    </row>
    <row r="65" spans="2:35" ht="17.100000000000001" customHeight="1">
      <c r="F65" s="1339"/>
      <c r="G65" s="1339"/>
      <c r="H65" s="1339"/>
      <c r="I65" s="1339"/>
      <c r="J65" s="1339"/>
      <c r="K65" s="1339"/>
      <c r="L65" s="1339"/>
      <c r="M65" s="1339"/>
      <c r="N65" s="1339"/>
      <c r="O65" s="1339"/>
      <c r="P65" s="1339"/>
      <c r="R65" s="1339"/>
      <c r="AH65" s="1339"/>
      <c r="AI65" s="1339"/>
    </row>
    <row r="66" spans="2:35" ht="17.100000000000001" customHeight="1">
      <c r="F66" s="1339"/>
      <c r="G66" s="1339"/>
      <c r="H66" s="1339"/>
      <c r="I66" s="1339"/>
      <c r="J66" s="1339"/>
      <c r="K66" s="1339"/>
      <c r="L66" s="1339"/>
      <c r="M66" s="1339"/>
      <c r="N66" s="1339"/>
      <c r="O66" s="1339"/>
      <c r="P66" s="1339"/>
      <c r="R66" s="1339"/>
      <c r="AH66" s="1339"/>
      <c r="AI66" s="1339"/>
    </row>
    <row r="67" spans="2:35" ht="17.100000000000001" customHeight="1">
      <c r="F67" s="1339"/>
      <c r="G67" s="1339"/>
      <c r="H67" s="1339"/>
      <c r="I67" s="1339"/>
      <c r="J67" s="1339"/>
      <c r="K67" s="1339"/>
      <c r="L67" s="1339"/>
      <c r="M67" s="1339"/>
      <c r="N67" s="1339"/>
      <c r="O67" s="1339"/>
      <c r="P67" s="1339"/>
      <c r="R67" s="1339"/>
      <c r="AH67" s="1339"/>
      <c r="AI67" s="1339"/>
    </row>
    <row r="68" spans="2:35" ht="17.100000000000001" customHeight="1">
      <c r="F68" s="1339"/>
      <c r="G68" s="1339"/>
      <c r="H68" s="1339"/>
      <c r="I68" s="1339"/>
      <c r="J68" s="1339"/>
      <c r="K68" s="1339"/>
      <c r="L68" s="1339"/>
      <c r="M68" s="1339"/>
      <c r="N68" s="1339"/>
      <c r="O68" s="1339"/>
      <c r="P68" s="1339"/>
      <c r="R68" s="1339"/>
      <c r="AH68" s="1339"/>
      <c r="AI68" s="1339"/>
    </row>
    <row r="69" spans="2:35" ht="17.100000000000001" customHeight="1">
      <c r="F69" s="1339"/>
      <c r="G69" s="1339"/>
      <c r="H69" s="1339"/>
      <c r="I69" s="1339"/>
      <c r="J69" s="1339"/>
      <c r="K69" s="1339"/>
      <c r="L69" s="1339"/>
      <c r="M69" s="1339"/>
      <c r="N69" s="1339"/>
      <c r="O69" s="1339"/>
      <c r="P69" s="1339"/>
      <c r="R69" s="1339"/>
      <c r="AH69" s="1339"/>
      <c r="AI69" s="1339"/>
    </row>
    <row r="70" spans="2:35" ht="17.100000000000001" customHeight="1">
      <c r="F70" s="1339"/>
      <c r="G70" s="1339"/>
      <c r="H70" s="1339"/>
      <c r="I70" s="1339"/>
      <c r="J70" s="1339"/>
      <c r="K70" s="1339"/>
      <c r="L70" s="1339"/>
      <c r="M70" s="1339"/>
      <c r="N70" s="1339"/>
      <c r="O70" s="1339"/>
      <c r="P70" s="1339"/>
      <c r="R70" s="1339"/>
      <c r="AH70" s="1339"/>
      <c r="AI70" s="1339"/>
    </row>
    <row r="71" spans="2:35" ht="17.100000000000001" customHeight="1">
      <c r="F71" s="1339"/>
      <c r="G71" s="1339"/>
      <c r="H71" s="1339"/>
      <c r="I71" s="1339"/>
      <c r="J71" s="1339"/>
      <c r="K71" s="1339"/>
      <c r="L71" s="1339"/>
      <c r="M71" s="1339"/>
      <c r="N71" s="1339"/>
      <c r="O71" s="1339"/>
      <c r="P71" s="1339"/>
      <c r="R71" s="1339"/>
      <c r="AH71" s="1339"/>
      <c r="AI71" s="1339"/>
    </row>
    <row r="72" spans="2:35" ht="17.100000000000001" customHeight="1">
      <c r="B72" s="1339"/>
      <c r="C72" s="1339"/>
      <c r="D72" s="1339"/>
      <c r="E72" s="1339"/>
      <c r="F72" s="1339"/>
      <c r="G72" s="1339"/>
      <c r="H72" s="1339"/>
      <c r="I72" s="1339"/>
      <c r="J72" s="1339"/>
      <c r="K72" s="1339"/>
      <c r="L72" s="1339"/>
      <c r="M72" s="1339"/>
      <c r="N72" s="1339"/>
      <c r="O72" s="1339"/>
      <c r="P72" s="1339"/>
      <c r="R72" s="1339"/>
      <c r="AH72" s="1339"/>
      <c r="AI72" s="1339"/>
    </row>
    <row r="73" spans="2:35" ht="17.100000000000001" customHeight="1">
      <c r="B73" s="1339"/>
      <c r="C73" s="1339"/>
      <c r="D73" s="1339"/>
      <c r="E73" s="1339"/>
      <c r="F73" s="1339"/>
      <c r="G73" s="1339"/>
      <c r="H73" s="1339"/>
      <c r="I73" s="1339"/>
      <c r="J73" s="1339"/>
      <c r="K73" s="1339"/>
      <c r="L73" s="1339"/>
      <c r="M73" s="1339"/>
      <c r="N73" s="1339"/>
      <c r="O73" s="1339"/>
      <c r="P73" s="1339"/>
      <c r="R73" s="1339"/>
      <c r="S73" s="1339"/>
      <c r="AH73" s="1339"/>
      <c r="AI73" s="1339"/>
    </row>
    <row r="74" spans="2:35" ht="17.100000000000001" customHeight="1">
      <c r="B74" s="1339"/>
      <c r="C74" s="1339"/>
      <c r="D74" s="1339"/>
      <c r="E74" s="1339"/>
      <c r="F74" s="1339"/>
      <c r="G74" s="1339"/>
      <c r="H74" s="1339"/>
      <c r="I74" s="1339"/>
      <c r="J74" s="1339"/>
      <c r="K74" s="1339"/>
      <c r="L74" s="1339"/>
      <c r="M74" s="1339"/>
      <c r="N74" s="1339"/>
      <c r="O74" s="1339"/>
      <c r="P74" s="1339"/>
      <c r="R74" s="1339"/>
      <c r="S74" s="1339"/>
      <c r="AH74" s="1339"/>
      <c r="AI74" s="1339"/>
    </row>
    <row r="75" spans="2:35" ht="17.100000000000001" customHeight="1">
      <c r="B75" s="1339"/>
      <c r="C75" s="1339"/>
      <c r="D75" s="1339"/>
      <c r="E75" s="1339"/>
      <c r="F75" s="1339"/>
      <c r="G75" s="1339"/>
      <c r="H75" s="1339"/>
      <c r="I75" s="1339"/>
      <c r="J75" s="1339"/>
      <c r="K75" s="1339"/>
      <c r="L75" s="1339"/>
      <c r="M75" s="1339"/>
      <c r="N75" s="1339"/>
      <c r="O75" s="1339"/>
      <c r="P75" s="1339"/>
      <c r="R75" s="1339"/>
      <c r="S75" s="1339"/>
      <c r="AH75" s="1339"/>
      <c r="AI75" s="1339"/>
    </row>
    <row r="76" spans="2:35" ht="17.100000000000001" customHeight="1">
      <c r="B76" s="1339"/>
      <c r="C76" s="1339"/>
      <c r="D76" s="1339"/>
      <c r="E76" s="1339"/>
      <c r="F76" s="1339"/>
      <c r="G76" s="1339"/>
      <c r="H76" s="1339"/>
      <c r="I76" s="1339"/>
      <c r="J76" s="1339"/>
      <c r="K76" s="1339"/>
      <c r="L76" s="1339"/>
      <c r="M76" s="1339"/>
      <c r="N76" s="1339"/>
      <c r="O76" s="1339"/>
      <c r="P76" s="1339"/>
      <c r="R76" s="1339"/>
      <c r="S76" s="1339"/>
      <c r="T76" s="1339"/>
      <c r="U76" s="1339"/>
      <c r="V76" s="1339"/>
      <c r="W76" s="1339"/>
      <c r="X76" s="1339"/>
      <c r="Y76" s="1339"/>
      <c r="Z76" s="1339"/>
      <c r="AA76" s="1339"/>
      <c r="AB76" s="1339"/>
      <c r="AC76" s="1339"/>
      <c r="AD76" s="1339"/>
      <c r="AE76" s="1339"/>
      <c r="AF76" s="1339"/>
      <c r="AG76" s="1339"/>
      <c r="AH76" s="1339"/>
      <c r="AI76" s="1339"/>
    </row>
    <row r="77" spans="2:35" ht="17.100000000000001" customHeight="1">
      <c r="B77" s="1344"/>
      <c r="C77" s="1339"/>
      <c r="D77" s="1339"/>
      <c r="E77" s="1339"/>
      <c r="F77" s="1339"/>
      <c r="G77" s="1339"/>
      <c r="H77" s="1339"/>
      <c r="I77" s="1339"/>
      <c r="J77" s="1339"/>
      <c r="K77" s="1339"/>
      <c r="L77" s="1339"/>
      <c r="M77" s="1339"/>
      <c r="N77" s="1119"/>
      <c r="O77" s="1339"/>
      <c r="P77" s="1339"/>
      <c r="S77" s="1339"/>
      <c r="T77" s="1339"/>
      <c r="U77" s="1339"/>
      <c r="V77" s="1339"/>
      <c r="W77" s="1339"/>
      <c r="X77" s="1339"/>
      <c r="Y77" s="1339"/>
      <c r="Z77" s="1339"/>
      <c r="AA77" s="1339"/>
      <c r="AB77" s="1339"/>
      <c r="AC77" s="1339"/>
      <c r="AD77" s="1339"/>
      <c r="AE77" s="1339"/>
      <c r="AF77" s="1339"/>
      <c r="AG77" s="1339"/>
      <c r="AH77" s="1339"/>
      <c r="AI77" s="1339"/>
    </row>
    <row r="78" spans="2:35" ht="17.100000000000001" customHeight="1">
      <c r="B78" s="1339"/>
      <c r="C78" s="1339"/>
      <c r="D78" s="1339"/>
      <c r="E78" s="1339"/>
      <c r="F78" s="1339"/>
      <c r="G78" s="1339"/>
      <c r="H78" s="1339"/>
      <c r="I78" s="1339"/>
      <c r="J78" s="1339"/>
      <c r="K78" s="1339"/>
      <c r="L78" s="1339"/>
      <c r="M78" s="1339"/>
      <c r="N78" s="1339"/>
      <c r="O78" s="1339"/>
      <c r="P78" s="1339"/>
      <c r="AH78" s="1339"/>
      <c r="AI78" s="1339"/>
    </row>
    <row r="79" spans="2:35" ht="17.100000000000001" customHeight="1">
      <c r="B79" s="1339"/>
      <c r="C79" s="1339"/>
      <c r="D79" s="1339"/>
      <c r="E79" s="1339"/>
      <c r="F79" s="1344"/>
      <c r="G79" s="1344"/>
      <c r="H79" s="1344"/>
      <c r="I79" s="1344"/>
      <c r="J79" s="1344"/>
      <c r="K79" s="1345"/>
      <c r="M79" s="1344"/>
      <c r="N79" s="1344"/>
      <c r="O79" s="1344"/>
      <c r="P79" s="1339"/>
      <c r="AH79" s="1339"/>
      <c r="AI79" s="1339"/>
    </row>
    <row r="80" spans="2:35" ht="17.100000000000001" customHeight="1">
      <c r="B80" s="1339"/>
      <c r="C80" s="1339"/>
      <c r="D80" s="1339"/>
      <c r="E80" s="1339"/>
      <c r="F80" s="1339"/>
      <c r="G80" s="1339"/>
      <c r="H80" s="1339"/>
      <c r="I80" s="1339"/>
      <c r="J80" s="1339"/>
      <c r="K80" s="1339"/>
      <c r="L80" s="1344"/>
      <c r="M80" s="1339"/>
      <c r="N80" s="1339"/>
      <c r="O80" s="1339"/>
      <c r="P80" s="1339"/>
    </row>
    <row r="81" spans="2:17" ht="17.100000000000001" customHeight="1">
      <c r="B81" s="1339"/>
      <c r="C81" s="1339"/>
      <c r="D81" s="1339"/>
      <c r="E81" s="1339"/>
      <c r="F81" s="1339"/>
      <c r="G81" s="1339"/>
      <c r="H81" s="1339"/>
      <c r="I81" s="1339"/>
      <c r="J81" s="1339"/>
      <c r="K81" s="1339"/>
      <c r="L81" s="1339"/>
      <c r="M81" s="1339"/>
      <c r="N81" s="1339"/>
      <c r="O81" s="1339"/>
      <c r="P81" s="1339"/>
    </row>
    <row r="82" spans="2:17" ht="17.100000000000001" customHeight="1">
      <c r="B82" s="1339"/>
      <c r="C82" s="1339"/>
      <c r="D82" s="1119"/>
      <c r="E82" s="1339"/>
      <c r="F82" s="1339"/>
      <c r="G82" s="1339"/>
      <c r="H82" s="1339"/>
      <c r="I82" s="1339"/>
      <c r="J82" s="1339"/>
      <c r="K82" s="1339"/>
      <c r="L82" s="1339"/>
      <c r="M82" s="1339"/>
      <c r="N82" s="1339"/>
      <c r="O82" s="1339"/>
      <c r="P82" s="1339"/>
    </row>
    <row r="83" spans="2:17" ht="17.100000000000001" customHeight="1">
      <c r="B83" s="1339"/>
      <c r="C83" s="1339"/>
      <c r="D83" s="1339"/>
      <c r="E83" s="1339"/>
      <c r="F83" s="1339"/>
      <c r="G83" s="1339"/>
      <c r="H83" s="1339"/>
      <c r="I83" s="1339"/>
      <c r="J83" s="1339"/>
      <c r="K83" s="1339"/>
      <c r="L83" s="1339"/>
      <c r="M83" s="1339"/>
      <c r="N83" s="1339"/>
      <c r="O83" s="1339"/>
      <c r="P83" s="1344"/>
      <c r="Q83" s="1344"/>
    </row>
    <row r="84" spans="2:17" ht="17.100000000000001" customHeight="1">
      <c r="B84" s="1339"/>
      <c r="C84" s="1339"/>
      <c r="D84" s="1339"/>
      <c r="E84" s="1339"/>
      <c r="F84" s="1339"/>
      <c r="G84" s="1339"/>
      <c r="H84" s="1339"/>
      <c r="I84" s="1339"/>
      <c r="J84" s="1339"/>
      <c r="K84" s="1339"/>
      <c r="L84" s="1339"/>
      <c r="M84" s="1339"/>
      <c r="N84" s="1339"/>
      <c r="O84" s="1339"/>
      <c r="P84" s="1344"/>
      <c r="Q84" s="1344"/>
    </row>
    <row r="85" spans="2:17" ht="17.100000000000001" customHeight="1">
      <c r="B85" s="1339"/>
      <c r="C85" s="1339"/>
      <c r="D85" s="1339"/>
      <c r="E85" s="1339"/>
      <c r="F85" s="1339"/>
      <c r="G85" s="1339"/>
      <c r="H85" s="1339"/>
      <c r="I85" s="1339"/>
      <c r="J85" s="1339"/>
      <c r="K85" s="1339"/>
      <c r="L85" s="1339"/>
      <c r="M85" s="1339"/>
      <c r="N85" s="1339"/>
      <c r="O85" s="1339"/>
      <c r="P85" s="1344"/>
      <c r="Q85" s="1344"/>
    </row>
    <row r="86" spans="2:17" ht="17.100000000000001" customHeight="1">
      <c r="B86" s="1339"/>
      <c r="C86" s="1339"/>
      <c r="D86" s="1339"/>
      <c r="E86" s="1339"/>
      <c r="F86" s="1339"/>
      <c r="G86" s="1339"/>
      <c r="H86" s="1339"/>
      <c r="I86" s="1339"/>
      <c r="J86" s="1339"/>
      <c r="K86" s="1339"/>
      <c r="L86" s="1339"/>
      <c r="M86" s="1339"/>
      <c r="N86" s="1339"/>
      <c r="O86" s="1339"/>
      <c r="P86" s="1344"/>
      <c r="Q86" s="1344"/>
    </row>
    <row r="87" spans="2:17" ht="17.100000000000001" customHeight="1">
      <c r="B87" s="1339"/>
      <c r="C87" s="1339"/>
      <c r="D87" s="1339"/>
      <c r="E87" s="1339"/>
      <c r="F87" s="1339"/>
      <c r="G87" s="1339"/>
      <c r="H87" s="1339"/>
      <c r="I87" s="1339"/>
      <c r="J87" s="1339"/>
      <c r="K87" s="1339"/>
      <c r="L87" s="1339"/>
      <c r="M87" s="1339"/>
      <c r="N87" s="1339"/>
      <c r="O87" s="1339"/>
      <c r="P87" s="1339"/>
    </row>
    <row r="88" spans="2:17" ht="17.100000000000001" customHeight="1">
      <c r="F88" s="1186"/>
      <c r="G88" s="1339"/>
      <c r="H88" s="1339"/>
      <c r="I88" s="1339"/>
      <c r="J88" s="1339"/>
      <c r="K88" s="1339"/>
      <c r="L88" s="1339"/>
      <c r="M88" s="1339"/>
      <c r="N88" s="1339"/>
      <c r="O88" s="1339"/>
      <c r="P88" s="1339"/>
    </row>
    <row r="89" spans="2:17" ht="17.100000000000001" customHeight="1">
      <c r="E89" s="1339"/>
      <c r="F89" s="1339"/>
      <c r="G89" s="1343"/>
      <c r="H89" s="1343"/>
      <c r="I89" s="1339"/>
      <c r="J89" s="1339"/>
      <c r="K89" s="1339"/>
      <c r="L89" s="1346"/>
      <c r="M89" s="1339"/>
      <c r="N89" s="1339"/>
      <c r="O89" s="1339"/>
      <c r="P89" s="1339"/>
    </row>
    <row r="90" spans="2:17" ht="17.100000000000001" customHeight="1">
      <c r="E90" s="1347"/>
      <c r="F90" s="1339"/>
      <c r="G90" s="1348"/>
      <c r="H90" s="1348"/>
      <c r="I90" s="1339"/>
      <c r="J90" s="1339"/>
      <c r="K90" s="1339"/>
      <c r="L90" s="1339"/>
      <c r="M90" s="1339"/>
      <c r="N90" s="1339"/>
      <c r="O90" s="1339"/>
      <c r="P90" s="1339"/>
    </row>
    <row r="91" spans="2:17" ht="17.100000000000001" customHeight="1">
      <c r="E91" s="1349"/>
      <c r="F91" s="1339"/>
      <c r="G91" s="1350"/>
      <c r="H91" s="1350"/>
      <c r="I91" s="1339"/>
      <c r="J91" s="1339"/>
      <c r="K91" s="1339"/>
      <c r="L91" s="1339"/>
      <c r="M91" s="1339"/>
      <c r="N91" s="1339"/>
      <c r="O91" s="1339"/>
    </row>
    <row r="92" spans="2:17" ht="17.100000000000001" customHeight="1">
      <c r="E92" s="1351"/>
      <c r="F92" s="1339"/>
      <c r="G92" s="1339"/>
      <c r="H92" s="1339"/>
      <c r="I92" s="1339"/>
      <c r="J92" s="1339"/>
      <c r="K92" s="1339"/>
      <c r="L92" s="1339"/>
      <c r="M92" s="1339"/>
      <c r="N92" s="1339"/>
      <c r="O92" s="1339"/>
    </row>
    <row r="93" spans="2:17" ht="17.100000000000001" customHeight="1">
      <c r="E93" s="1351"/>
      <c r="F93" s="1352"/>
      <c r="G93" s="1339"/>
      <c r="H93" s="1339"/>
      <c r="I93" s="1339"/>
      <c r="J93" s="1339"/>
      <c r="K93" s="1339"/>
      <c r="L93" s="1344"/>
      <c r="M93" s="1344"/>
      <c r="N93" s="1344"/>
      <c r="O93" s="1344"/>
    </row>
    <row r="94" spans="2:17" ht="17.100000000000001" customHeight="1">
      <c r="F94" s="1339"/>
      <c r="G94" s="1339"/>
      <c r="H94" s="1339"/>
      <c r="I94" s="1339"/>
      <c r="J94" s="1339"/>
      <c r="K94" s="1339"/>
      <c r="L94" s="1344"/>
      <c r="M94" s="1344"/>
      <c r="N94" s="1344"/>
      <c r="O94" s="1344"/>
    </row>
    <row r="95" spans="2:17" ht="17.100000000000001" customHeight="1">
      <c r="E95" s="1341"/>
      <c r="F95" s="1339"/>
      <c r="G95" s="1339"/>
      <c r="H95" s="1339"/>
      <c r="I95" s="1339"/>
      <c r="J95" s="1339"/>
      <c r="K95" s="1339"/>
      <c r="L95" s="1344"/>
      <c r="M95" s="1344"/>
      <c r="N95" s="1344"/>
      <c r="O95" s="1344"/>
    </row>
    <row r="96" spans="2:17" ht="17.100000000000001" customHeight="1">
      <c r="E96" s="1341" t="s">
        <v>526</v>
      </c>
      <c r="F96" s="1339"/>
      <c r="G96" s="1339"/>
      <c r="H96" s="1339"/>
      <c r="I96" s="1339"/>
      <c r="J96" s="1339"/>
      <c r="K96" s="1339"/>
      <c r="L96" s="1344"/>
      <c r="M96" s="1344"/>
      <c r="N96" s="1344"/>
      <c r="O96" s="1344"/>
    </row>
    <row r="97" spans="2:15" ht="17.100000000000001" customHeight="1">
      <c r="E97" s="1341"/>
      <c r="F97" s="1339"/>
      <c r="G97" s="1339"/>
      <c r="H97" s="1339"/>
      <c r="I97" s="1339"/>
      <c r="J97" s="1119"/>
      <c r="K97" s="1339"/>
      <c r="L97" s="1339"/>
      <c r="M97" s="1339"/>
      <c r="N97" s="1339"/>
      <c r="O97" s="1339"/>
    </row>
    <row r="98" spans="2:15" ht="17.100000000000001" customHeight="1">
      <c r="E98" s="1339"/>
      <c r="F98" s="1339"/>
      <c r="G98" s="1339"/>
      <c r="H98" s="1339"/>
      <c r="I98" s="1339"/>
      <c r="J98" s="1339"/>
      <c r="K98" s="1339"/>
      <c r="L98" s="1339"/>
      <c r="M98" s="1339"/>
      <c r="N98" s="1339"/>
      <c r="O98" s="1339"/>
    </row>
    <row r="99" spans="2:15" ht="17.100000000000001" customHeight="1">
      <c r="B99" s="1339"/>
      <c r="C99" s="1339"/>
      <c r="D99" s="1339"/>
      <c r="E99" s="1339"/>
      <c r="F99" s="1339"/>
      <c r="G99" s="1339"/>
      <c r="H99" s="1339"/>
      <c r="I99" s="1339"/>
      <c r="J99" s="1339"/>
      <c r="K99" s="1339"/>
      <c r="L99" s="1339"/>
      <c r="M99" s="1339"/>
      <c r="N99" s="1339"/>
      <c r="O99" s="1339"/>
    </row>
    <row r="100" spans="2:15" ht="17.100000000000001" customHeight="1">
      <c r="B100" s="1339"/>
      <c r="C100" s="1339"/>
      <c r="D100" s="1339"/>
      <c r="E100" s="1339"/>
      <c r="F100" s="1339"/>
      <c r="G100" s="1339"/>
      <c r="H100" s="1339"/>
      <c r="I100" s="1339"/>
      <c r="J100" s="1339"/>
      <c r="K100" s="1339"/>
      <c r="L100" s="1339"/>
      <c r="M100" s="1339"/>
      <c r="N100" s="1339"/>
      <c r="O100" s="1339"/>
    </row>
    <row r="101" spans="2:15" ht="17.100000000000001" customHeight="1">
      <c r="B101" s="1339"/>
      <c r="C101" s="1339"/>
      <c r="D101" s="1339"/>
      <c r="E101" s="1339"/>
      <c r="F101" s="1339"/>
      <c r="G101" s="1339"/>
      <c r="H101" s="1339"/>
      <c r="I101" s="1339"/>
      <c r="J101" s="1339"/>
      <c r="K101" s="1339"/>
      <c r="L101" s="1339"/>
      <c r="M101" s="1339"/>
      <c r="N101" s="1339"/>
      <c r="O101" s="1339"/>
    </row>
    <row r="102" spans="2:15" ht="17.100000000000001" customHeight="1">
      <c r="B102" s="1339"/>
      <c r="C102" s="1339"/>
      <c r="D102" s="1339"/>
      <c r="E102" s="1339"/>
      <c r="F102" s="1339"/>
      <c r="G102" s="1339"/>
      <c r="H102" s="1339"/>
      <c r="I102" s="1339"/>
      <c r="J102" s="1339"/>
      <c r="K102" s="1339"/>
      <c r="L102" s="1339"/>
      <c r="M102" s="1339"/>
      <c r="N102" s="1339"/>
      <c r="O102" s="1339"/>
    </row>
  </sheetData>
  <mergeCells count="3">
    <mergeCell ref="D40:E40"/>
    <mergeCell ref="D45:E45"/>
    <mergeCell ref="D41:E41"/>
  </mergeCells>
  <phoneticPr fontId="0" type="noConversion"/>
  <pageMargins left="0.75" right="0.75" top="1" bottom="1" header="0.5" footer="0.5"/>
  <pageSetup paperSize="9" orientation="portrait"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FFFFCC"/>
  </sheetPr>
  <dimension ref="A1:I36"/>
  <sheetViews>
    <sheetView zoomScale="90" zoomScaleNormal="90" workbookViewId="0"/>
  </sheetViews>
  <sheetFormatPr baseColWidth="10" defaultColWidth="9.140625" defaultRowHeight="15"/>
  <cols>
    <col min="1" max="1" width="3.7109375" style="1117" customWidth="1"/>
    <col min="2" max="2" width="16.7109375" style="1117" customWidth="1"/>
    <col min="3" max="3" width="17.5703125" style="1117" customWidth="1"/>
    <col min="4" max="5" width="16.7109375" style="1117" customWidth="1"/>
    <col min="6" max="6" width="9.140625" style="1117"/>
    <col min="7" max="7" width="11.5703125" style="1117" customWidth="1"/>
    <col min="8" max="8" width="11.7109375" style="1117" customWidth="1"/>
    <col min="9" max="16384" width="9.140625" style="1117"/>
  </cols>
  <sheetData>
    <row r="1" spans="1:9" ht="17.25" customHeight="1">
      <c r="A1" s="1154"/>
    </row>
    <row r="5" spans="1:9" ht="21">
      <c r="B5" s="1353" t="s">
        <v>19</v>
      </c>
      <c r="C5" s="1354"/>
      <c r="D5" s="1354"/>
      <c r="E5" s="1354"/>
      <c r="F5" s="1354"/>
      <c r="G5" s="1354"/>
      <c r="H5" s="1354"/>
      <c r="I5" s="1354"/>
    </row>
    <row r="6" spans="1:9">
      <c r="B6" s="1189" t="s">
        <v>947</v>
      </c>
      <c r="C6" s="1354"/>
      <c r="D6" s="1354"/>
      <c r="E6" s="1354"/>
      <c r="F6" s="1354"/>
      <c r="G6" s="1354"/>
      <c r="H6" s="1354"/>
      <c r="I6" s="1354"/>
    </row>
    <row r="7" spans="1:9">
      <c r="B7" s="1190" t="s">
        <v>30</v>
      </c>
      <c r="I7" s="1354"/>
    </row>
    <row r="8" spans="1:9" ht="15.75">
      <c r="C8" s="1183"/>
      <c r="D8" s="1183"/>
      <c r="E8" s="1183"/>
      <c r="F8" s="1183"/>
      <c r="G8" s="1183"/>
      <c r="H8" s="1183"/>
      <c r="I8" s="1354"/>
    </row>
    <row r="9" spans="1:9">
      <c r="B9" s="2089"/>
      <c r="C9" s="2048"/>
      <c r="D9" s="2048"/>
      <c r="E9" s="2048"/>
      <c r="F9" s="2048"/>
      <c r="G9" s="2048"/>
      <c r="H9" s="2048"/>
      <c r="I9" s="1354"/>
    </row>
    <row r="10" spans="1:9" ht="15.75">
      <c r="B10" s="2074"/>
      <c r="C10" s="2075" t="s">
        <v>957</v>
      </c>
      <c r="D10" s="2076"/>
      <c r="E10" s="2076"/>
      <c r="F10" s="2076"/>
      <c r="G10" s="2076"/>
      <c r="H10" s="2076"/>
      <c r="I10" s="1354"/>
    </row>
    <row r="11" spans="1:9">
      <c r="B11" s="2077"/>
      <c r="C11" s="2078" t="s">
        <v>564</v>
      </c>
      <c r="D11" s="2079" t="s">
        <v>959</v>
      </c>
      <c r="E11" s="2048"/>
      <c r="F11" s="2076"/>
      <c r="G11" s="2076"/>
      <c r="H11" s="2076"/>
      <c r="I11" s="1354"/>
    </row>
    <row r="12" spans="1:9">
      <c r="B12" s="2080" t="s">
        <v>518</v>
      </c>
      <c r="C12" s="2081" t="e">
        <f ca="1">_xll.BDP($B12,C$11)</f>
        <v>#NAME?</v>
      </c>
      <c r="D12" s="2076" t="s">
        <v>958</v>
      </c>
      <c r="E12" s="2048"/>
      <c r="F12" s="2076"/>
      <c r="G12" s="2076"/>
      <c r="H12" s="2076"/>
      <c r="I12" s="1354"/>
    </row>
    <row r="13" spans="1:9">
      <c r="B13" s="2082"/>
      <c r="C13" s="2076"/>
      <c r="D13" s="2048"/>
      <c r="E13" s="2076"/>
      <c r="F13" s="2076"/>
      <c r="G13" s="2076"/>
      <c r="H13" s="2076"/>
      <c r="I13" s="1354"/>
    </row>
    <row r="14" spans="1:9">
      <c r="B14" s="2076"/>
      <c r="C14" s="2076"/>
      <c r="D14" s="2076"/>
      <c r="E14" s="2076"/>
      <c r="F14" s="2076"/>
      <c r="G14" s="2076"/>
      <c r="H14" s="2076"/>
      <c r="I14" s="1354"/>
    </row>
    <row r="15" spans="1:9" ht="15.75">
      <c r="B15" s="2083"/>
      <c r="C15" s="2075" t="s">
        <v>949</v>
      </c>
      <c r="D15" s="2076"/>
      <c r="E15" s="2076"/>
      <c r="F15" s="2076"/>
      <c r="G15" s="2076"/>
      <c r="H15" s="2076"/>
      <c r="I15" s="1354"/>
    </row>
    <row r="16" spans="1:9">
      <c r="B16" s="2076"/>
      <c r="C16" s="2078" t="s">
        <v>564</v>
      </c>
      <c r="D16" s="2048"/>
      <c r="E16" s="2048"/>
      <c r="F16" s="2076"/>
      <c r="G16" s="2076"/>
      <c r="H16" s="2076"/>
      <c r="I16" s="1354"/>
    </row>
    <row r="17" spans="2:9">
      <c r="B17" s="2080" t="s">
        <v>518</v>
      </c>
      <c r="C17" s="2081" t="e">
        <f ca="1">_xll.BDP($B17,C$16, "UpdateFrequency=120000" )</f>
        <v>#NAME?</v>
      </c>
      <c r="D17" s="2076" t="s">
        <v>950</v>
      </c>
      <c r="E17" s="2084" t="s">
        <v>1232</v>
      </c>
      <c r="F17" s="2076"/>
      <c r="G17" s="2076"/>
      <c r="H17" s="2076"/>
      <c r="I17" s="1354"/>
    </row>
    <row r="18" spans="2:9">
      <c r="B18" s="2080" t="s">
        <v>518</v>
      </c>
      <c r="C18" s="2085" t="e">
        <f ca="1">_xll.BDP($B18,C$16, "UpdateFrequency=60000" )</f>
        <v>#NAME?</v>
      </c>
      <c r="D18" s="2076" t="s">
        <v>951</v>
      </c>
      <c r="E18" s="2076"/>
      <c r="F18" s="2076"/>
      <c r="G18" s="2076"/>
      <c r="H18" s="2076"/>
      <c r="I18" s="1354"/>
    </row>
    <row r="19" spans="2:9">
      <c r="B19" s="2080" t="s">
        <v>518</v>
      </c>
      <c r="C19" s="2085" t="e">
        <f ca="1">_xll.BDP($B19,C$16, "UpdateFrequency=30000" )</f>
        <v>#NAME?</v>
      </c>
      <c r="D19" s="2076" t="s">
        <v>952</v>
      </c>
      <c r="E19" s="2076"/>
      <c r="F19" s="2076" t="s">
        <v>1002</v>
      </c>
      <c r="G19" s="2076"/>
      <c r="H19" s="2076"/>
      <c r="I19" s="1354"/>
    </row>
    <row r="20" spans="2:9">
      <c r="B20" s="2080" t="s">
        <v>518</v>
      </c>
      <c r="C20" s="2085" t="e">
        <f ca="1">_xll.BDP($B20,C$16, "UpdateFrequency=10000" )</f>
        <v>#NAME?</v>
      </c>
      <c r="D20" s="2076" t="s">
        <v>953</v>
      </c>
      <c r="E20" s="2076"/>
      <c r="F20" s="2049"/>
      <c r="G20" s="2076"/>
      <c r="H20" s="2076"/>
      <c r="I20" s="1354"/>
    </row>
    <row r="21" spans="2:9">
      <c r="B21" s="2080" t="s">
        <v>518</v>
      </c>
      <c r="C21" s="2085" t="e">
        <f ca="1">_xll.BDP($B21,C$16, "UpdateFrequency=5000" )</f>
        <v>#NAME?</v>
      </c>
      <c r="D21" s="2076" t="s">
        <v>954</v>
      </c>
      <c r="E21" s="2076"/>
      <c r="F21" s="2076"/>
      <c r="G21" s="2076"/>
      <c r="H21" s="2076"/>
      <c r="I21" s="1354"/>
    </row>
    <row r="22" spans="2:9">
      <c r="B22" s="2080" t="s">
        <v>518</v>
      </c>
      <c r="C22" s="2085" t="e">
        <f ca="1">_xll.BDP($B22,C$16, "UpdateFrequency=1000" )</f>
        <v>#NAME?</v>
      </c>
      <c r="D22" s="2076" t="s">
        <v>955</v>
      </c>
      <c r="E22" s="2076"/>
      <c r="F22" s="2076"/>
      <c r="G22" s="2076"/>
      <c r="H22" s="2076"/>
      <c r="I22" s="1354"/>
    </row>
    <row r="23" spans="2:9">
      <c r="B23" s="2080" t="s">
        <v>518</v>
      </c>
      <c r="C23" s="2085" t="e">
        <f ca="1">_xll.BDP($B23,C$16, "UpdateFrequency=300" )</f>
        <v>#NAME?</v>
      </c>
      <c r="D23" s="2076" t="s">
        <v>956</v>
      </c>
      <c r="E23" s="2076"/>
      <c r="F23" s="2076"/>
      <c r="G23" s="2076"/>
      <c r="H23" s="2076"/>
      <c r="I23" s="1354"/>
    </row>
    <row r="24" spans="2:9">
      <c r="B24" s="2082"/>
      <c r="C24" s="2076"/>
      <c r="D24" s="2076"/>
      <c r="E24" s="2076"/>
      <c r="F24" s="2076"/>
      <c r="G24" s="2076"/>
      <c r="H24" s="2076"/>
      <c r="I24" s="1354"/>
    </row>
    <row r="25" spans="2:9">
      <c r="B25" s="2086"/>
      <c r="C25" s="2087"/>
      <c r="D25" s="2087"/>
      <c r="E25" s="2048"/>
      <c r="F25" s="2087"/>
      <c r="G25" s="2087"/>
      <c r="H25" s="2087"/>
      <c r="I25" s="1354"/>
    </row>
    <row r="26" spans="2:9">
      <c r="B26" s="2048"/>
      <c r="C26" s="2048"/>
      <c r="D26" s="2048"/>
      <c r="E26" s="2088" t="s">
        <v>1514</v>
      </c>
      <c r="F26" s="2048"/>
      <c r="G26" s="2048"/>
      <c r="H26" s="2048"/>
    </row>
    <row r="27" spans="2:9">
      <c r="B27" s="2048"/>
      <c r="C27" s="2076"/>
      <c r="D27" s="2048"/>
      <c r="E27" s="2088" t="s">
        <v>1624</v>
      </c>
      <c r="F27" s="2048"/>
      <c r="G27" s="2048"/>
      <c r="H27" s="2048"/>
    </row>
    <row r="28" spans="2:9">
      <c r="B28" s="2050"/>
      <c r="C28" s="2076"/>
      <c r="D28" s="2048"/>
      <c r="E28" s="2048"/>
      <c r="F28" s="2048"/>
      <c r="G28" s="2048"/>
      <c r="H28" s="2048"/>
    </row>
    <row r="29" spans="2:9">
      <c r="B29" s="2050"/>
      <c r="C29" s="2076"/>
      <c r="D29" s="2048"/>
      <c r="E29" s="2048"/>
      <c r="F29" s="2048"/>
      <c r="G29" s="2048"/>
      <c r="H29" s="2048"/>
    </row>
    <row r="30" spans="2:9">
      <c r="B30" s="2076"/>
      <c r="C30" s="2076"/>
      <c r="D30" s="2048"/>
      <c r="E30" s="2048"/>
      <c r="F30" s="2048"/>
      <c r="G30" s="2048"/>
      <c r="H30" s="2048"/>
    </row>
    <row r="31" spans="2:9">
      <c r="B31" s="2050"/>
      <c r="C31" s="2050"/>
      <c r="D31" s="2048"/>
      <c r="E31" s="2048"/>
      <c r="F31" s="2048"/>
      <c r="G31" s="2048"/>
      <c r="H31" s="2048"/>
    </row>
    <row r="32" spans="2:9">
      <c r="B32" s="2050"/>
      <c r="C32" s="2050"/>
      <c r="D32" s="2048"/>
      <c r="E32" s="2048"/>
      <c r="F32" s="2048"/>
      <c r="G32" s="2048"/>
      <c r="H32" s="2048"/>
    </row>
    <row r="33" spans="2:8">
      <c r="B33" s="2050"/>
      <c r="C33" s="2050"/>
      <c r="D33" s="2048"/>
      <c r="E33" s="2048"/>
      <c r="F33" s="2048"/>
      <c r="G33" s="2048"/>
      <c r="H33" s="2048"/>
    </row>
    <row r="34" spans="2:8">
      <c r="B34" s="2050"/>
      <c r="C34" s="2050"/>
      <c r="D34" s="2048"/>
      <c r="E34" s="2048"/>
      <c r="F34" s="2048"/>
      <c r="G34" s="2048"/>
      <c r="H34" s="2048"/>
    </row>
    <row r="35" spans="2:8">
      <c r="B35" s="2050"/>
      <c r="C35" s="2050"/>
      <c r="D35" s="2048"/>
      <c r="E35" s="2048"/>
      <c r="F35" s="2048"/>
      <c r="G35" s="2048"/>
      <c r="H35" s="2048"/>
    </row>
    <row r="36" spans="2:8">
      <c r="B36" s="2048"/>
      <c r="C36" s="2050"/>
      <c r="D36" s="2048"/>
      <c r="E36" s="2048"/>
      <c r="F36" s="2048"/>
      <c r="G36" s="2048"/>
      <c r="H36" s="2048"/>
    </row>
  </sheetData>
  <phoneticPr fontId="0" type="noConversion"/>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rgb="FFFFFFCC"/>
  </sheetPr>
  <dimension ref="A1:I90"/>
  <sheetViews>
    <sheetView zoomScale="90" zoomScaleNormal="90" workbookViewId="0"/>
  </sheetViews>
  <sheetFormatPr baseColWidth="10" defaultColWidth="9.140625" defaultRowHeight="15" customHeight="1"/>
  <cols>
    <col min="1" max="1" width="3.7109375" style="1117" customWidth="1"/>
    <col min="2" max="2" width="29" style="1117" customWidth="1"/>
    <col min="3" max="3" width="12.28515625" style="1117" customWidth="1"/>
    <col min="4" max="4" width="14.85546875" style="1117" bestFit="1" customWidth="1"/>
    <col min="5" max="5" width="14.5703125" style="1117" bestFit="1" customWidth="1"/>
    <col min="6" max="6" width="21.140625" style="1117" customWidth="1"/>
    <col min="7" max="7" width="14.5703125" style="1117" bestFit="1" customWidth="1"/>
    <col min="8" max="8" width="19.7109375" style="1117" customWidth="1"/>
    <col min="9" max="9" width="21.140625" style="1117" bestFit="1" customWidth="1"/>
    <col min="10" max="10" width="19.5703125" style="1117" customWidth="1"/>
    <col min="11" max="16384" width="9.140625" style="1117"/>
  </cols>
  <sheetData>
    <row r="1" spans="1:7" ht="17.25" customHeight="1">
      <c r="A1" s="1154"/>
    </row>
    <row r="5" spans="1:7" ht="21">
      <c r="B5" s="1158" t="s">
        <v>864</v>
      </c>
    </row>
    <row r="6" spans="1:7" ht="15" customHeight="1">
      <c r="B6" s="1189" t="s">
        <v>23</v>
      </c>
    </row>
    <row r="7" spans="1:7" ht="15" customHeight="1">
      <c r="B7" s="1190" t="s">
        <v>30</v>
      </c>
      <c r="G7" s="1405"/>
    </row>
    <row r="8" spans="1:7" ht="15" customHeight="1">
      <c r="G8" s="1405"/>
    </row>
    <row r="9" spans="1:7" ht="15" customHeight="1">
      <c r="B9" s="1117" t="s">
        <v>579</v>
      </c>
    </row>
    <row r="10" spans="1:7" ht="15" customHeight="1">
      <c r="B10" s="1117" t="s">
        <v>580</v>
      </c>
    </row>
    <row r="11" spans="1:7" ht="15" customHeight="1">
      <c r="B11" s="1117" t="s">
        <v>581</v>
      </c>
      <c r="G11" s="1406"/>
    </row>
    <row r="12" spans="1:7" ht="15" customHeight="1">
      <c r="B12" s="1117" t="s">
        <v>582</v>
      </c>
    </row>
    <row r="14" spans="1:7" ht="15" customHeight="1">
      <c r="B14" s="1117" t="s">
        <v>583</v>
      </c>
    </row>
    <row r="15" spans="1:7" ht="15" customHeight="1">
      <c r="B15" s="1117" t="s">
        <v>584</v>
      </c>
    </row>
    <row r="21" spans="7:7" ht="15" customHeight="1">
      <c r="G21" s="1407"/>
    </row>
    <row r="22" spans="7:7" ht="15" customHeight="1">
      <c r="G22" s="1407"/>
    </row>
    <row r="23" spans="7:7" ht="15" customHeight="1">
      <c r="G23" s="1407"/>
    </row>
    <row r="24" spans="7:7" ht="15" customHeight="1">
      <c r="G24" s="1407"/>
    </row>
    <row r="25" spans="7:7" ht="15" customHeight="1">
      <c r="G25" s="1407"/>
    </row>
    <row r="26" spans="7:7" ht="15" customHeight="1">
      <c r="G26" s="1407"/>
    </row>
    <row r="27" spans="7:7" ht="15" customHeight="1">
      <c r="G27" s="1407"/>
    </row>
    <row r="28" spans="7:7" ht="15" customHeight="1">
      <c r="G28" s="1407"/>
    </row>
    <row r="29" spans="7:7" ht="15" customHeight="1">
      <c r="G29" s="1407"/>
    </row>
    <row r="39" spans="2:9" ht="21">
      <c r="B39" s="1209" t="s">
        <v>566</v>
      </c>
    </row>
    <row r="40" spans="2:9" ht="15" customHeight="1">
      <c r="B40" s="30"/>
      <c r="C40" s="6"/>
      <c r="D40" s="6"/>
      <c r="E40" s="6"/>
      <c r="F40" s="96"/>
      <c r="G40" s="6"/>
      <c r="H40" s="6"/>
      <c r="I40" s="7"/>
    </row>
    <row r="41" spans="2:9" ht="15" customHeight="1">
      <c r="B41" s="740"/>
      <c r="C41" s="1077" t="s">
        <v>1517</v>
      </c>
      <c r="D41" s="751"/>
      <c r="E41" s="751"/>
      <c r="F41" s="2"/>
      <c r="G41" s="751"/>
      <c r="H41" s="751"/>
      <c r="I41" s="8"/>
    </row>
    <row r="42" spans="2:9" ht="15" customHeight="1">
      <c r="B42" s="740" t="s">
        <v>569</v>
      </c>
      <c r="C42" s="415" t="str">
        <f ca="1">TEXT(D42,"YYYYMMDD")</f>
        <v>YYYY08DD</v>
      </c>
      <c r="D42" s="1304">
        <f ca="1">TODAY()-50</f>
        <v>43692</v>
      </c>
      <c r="E42" s="751" t="s">
        <v>571</v>
      </c>
      <c r="F42" s="751"/>
      <c r="G42" s="751"/>
      <c r="H42" s="1532" t="s">
        <v>241</v>
      </c>
      <c r="I42" s="1201"/>
    </row>
    <row r="43" spans="2:9" ht="15" customHeight="1">
      <c r="B43" s="740" t="s">
        <v>568</v>
      </c>
      <c r="C43" s="416" t="str">
        <f ca="1">TEXT(D43,"YYYYMMDD")</f>
        <v>YYYY09DD</v>
      </c>
      <c r="D43" s="1304">
        <f ca="1">TODAY()-20</f>
        <v>43722</v>
      </c>
      <c r="E43" s="751"/>
      <c r="F43" s="751"/>
      <c r="G43" s="751"/>
      <c r="H43" s="1533" t="s">
        <v>240</v>
      </c>
      <c r="I43" s="1195"/>
    </row>
    <row r="44" spans="2:9" ht="15" customHeight="1">
      <c r="B44" s="740" t="s">
        <v>567</v>
      </c>
      <c r="C44" s="1303" t="s">
        <v>564</v>
      </c>
      <c r="D44" s="752"/>
      <c r="E44" s="750"/>
      <c r="F44" s="751"/>
      <c r="G44" s="751"/>
      <c r="H44" s="1534" t="s">
        <v>242</v>
      </c>
      <c r="I44" s="1265"/>
    </row>
    <row r="45" spans="2:9" ht="15" customHeight="1">
      <c r="B45" s="740"/>
      <c r="C45" s="1150"/>
      <c r="D45" s="1150"/>
      <c r="E45" s="751" t="s">
        <v>219</v>
      </c>
      <c r="F45" s="751"/>
      <c r="G45" s="751"/>
      <c r="H45" s="752"/>
      <c r="I45" s="8"/>
    </row>
    <row r="46" spans="2:9" ht="15" customHeight="1">
      <c r="B46" s="740"/>
      <c r="C46" s="1077" t="s">
        <v>1516</v>
      </c>
      <c r="D46" s="750"/>
      <c r="E46" s="751"/>
      <c r="F46" s="751"/>
      <c r="G46" s="751"/>
      <c r="H46" s="751"/>
      <c r="I46" s="8"/>
    </row>
    <row r="47" spans="2:9" ht="15" customHeight="1">
      <c r="B47" s="740"/>
      <c r="C47" s="1150" t="s">
        <v>552</v>
      </c>
      <c r="D47" s="1150" t="s">
        <v>553</v>
      </c>
      <c r="E47" s="1150" t="s">
        <v>476</v>
      </c>
      <c r="F47" s="97" t="s">
        <v>220</v>
      </c>
      <c r="G47" s="751"/>
      <c r="H47" s="751"/>
      <c r="I47" s="8"/>
    </row>
    <row r="48" spans="2:9" ht="15" customHeight="1">
      <c r="B48" s="1324" t="s">
        <v>562</v>
      </c>
      <c r="C48" s="343" t="e">
        <f>_xll.BDP($B48,C$47,$B$42:$B$44,$C$42:$C$44)</f>
        <v>#N/A</v>
      </c>
      <c r="D48" s="98" t="e">
        <f>_xll.BDP($B48,D$47,$B$42:$B$44,$C$42:$C$44)</f>
        <v>#N/A</v>
      </c>
      <c r="E48" s="98" t="e">
        <f>_xll.BDP($B48,E$47,$B$42:$B$44,$C$42:$C$44)</f>
        <v>#N/A</v>
      </c>
      <c r="F48" s="1529" t="e">
        <f t="shared" ref="F48:F56" si="0">(E48-C48)/D48</f>
        <v>#N/A</v>
      </c>
      <c r="G48" s="109"/>
      <c r="H48" s="751"/>
      <c r="I48" s="8"/>
    </row>
    <row r="49" spans="2:9" ht="15" customHeight="1">
      <c r="B49" s="1324" t="s">
        <v>558</v>
      </c>
      <c r="C49" s="98" t="e">
        <f>_xll.BDP($B49,C$47,$B$42:$B$44,$C$42:$C$44)</f>
        <v>#N/A</v>
      </c>
      <c r="D49" s="98" t="e">
        <f>_xll.BDP($B49,D$47,$B$42:$B$44,$C$42:$C$44)</f>
        <v>#N/A</v>
      </c>
      <c r="E49" s="98" t="e">
        <f>_xll.BDP($B49,E$47,$B$42:$B$44,$C$42:$C$44)</f>
        <v>#N/A</v>
      </c>
      <c r="F49" s="1530" t="e">
        <f t="shared" si="0"/>
        <v>#N/A</v>
      </c>
      <c r="G49" s="109"/>
      <c r="H49" s="751"/>
      <c r="I49" s="8"/>
    </row>
    <row r="50" spans="2:9" ht="15" customHeight="1">
      <c r="B50" s="1324" t="s">
        <v>561</v>
      </c>
      <c r="C50" s="98" t="e">
        <f>_xll.BDP($B50,C$47,$B$42:$B$44,$C$42:$C$44)</f>
        <v>#N/A</v>
      </c>
      <c r="D50" s="98" t="e">
        <f>_xll.BDP($B50,D$47,$B$42:$B$44,$C$42:$C$44)</f>
        <v>#N/A</v>
      </c>
      <c r="E50" s="98" t="e">
        <f>_xll.BDP($B50,E$47,$B$42:$B$44,$C$42:$C$44)</f>
        <v>#N/A</v>
      </c>
      <c r="F50" s="1530" t="e">
        <f t="shared" si="0"/>
        <v>#N/A</v>
      </c>
      <c r="G50" s="110"/>
      <c r="H50" s="751"/>
      <c r="I50" s="8"/>
    </row>
    <row r="51" spans="2:9" ht="15" customHeight="1">
      <c r="B51" s="1324" t="s">
        <v>554</v>
      </c>
      <c r="C51" s="772" t="e">
        <f>_xll.BDP($B51,C$47,$B$42:$B$44,$C$42:$C$44)</f>
        <v>#N/A</v>
      </c>
      <c r="D51" s="98" t="e">
        <f>_xll.BDP($B51,D$47,$B$42:$B$44,$C$42:$C$44)</f>
        <v>#N/A</v>
      </c>
      <c r="E51" s="98" t="e">
        <f>_xll.BDP($B51,E$47,$B$42:$B$44,$C$42:$C$44)</f>
        <v>#N/A</v>
      </c>
      <c r="F51" s="1530" t="e">
        <f t="shared" si="0"/>
        <v>#N/A</v>
      </c>
      <c r="G51" s="2395" t="s">
        <v>577</v>
      </c>
      <c r="H51" s="2405"/>
      <c r="I51" s="8"/>
    </row>
    <row r="52" spans="2:9" ht="15" customHeight="1">
      <c r="B52" s="1324" t="s">
        <v>555</v>
      </c>
      <c r="C52" s="772" t="e">
        <f>_xll.BDP($B52,C$47,$B$42:$B$44,$C$42:$C$44)</f>
        <v>#N/A</v>
      </c>
      <c r="D52" s="98" t="e">
        <f>_xll.BDP($B52,D$47,$B$42:$B$44,$C$42:$C$44)</f>
        <v>#N/A</v>
      </c>
      <c r="E52" s="98" t="e">
        <f>_xll.BDP($B52,E$47,$B$42:$B$44,$C$42:$C$44)</f>
        <v>#N/A</v>
      </c>
      <c r="F52" s="1530" t="e">
        <f t="shared" si="0"/>
        <v>#N/A</v>
      </c>
      <c r="G52" s="2395" t="s">
        <v>578</v>
      </c>
      <c r="H52" s="2405"/>
      <c r="I52" s="8"/>
    </row>
    <row r="53" spans="2:9" ht="15" customHeight="1">
      <c r="B53" s="1324" t="s">
        <v>560</v>
      </c>
      <c r="C53" s="772" t="e">
        <f>_xll.BDP($B53,C$47,$B$42:$B$44,$C$42:$C$44)</f>
        <v>#N/A</v>
      </c>
      <c r="D53" s="98" t="e">
        <f>_xll.BDP($B53,D$47,$B$42:$B$44,$C$42:$C$44)</f>
        <v>#N/A</v>
      </c>
      <c r="E53" s="98" t="e">
        <f>_xll.BDP($B53,E$47,$B$42:$B$44,$C$42:$C$44)</f>
        <v>#N/A</v>
      </c>
      <c r="F53" s="1530" t="e">
        <f t="shared" si="0"/>
        <v>#N/A</v>
      </c>
      <c r="G53" s="751"/>
      <c r="H53" s="751"/>
      <c r="I53" s="8"/>
    </row>
    <row r="54" spans="2:9" ht="15" customHeight="1">
      <c r="B54" s="1324" t="s">
        <v>559</v>
      </c>
      <c r="C54" s="772" t="e">
        <f>_xll.BDP($B54,C$47,$B$42:$B$44,$C$42:$C$44)</f>
        <v>#N/A</v>
      </c>
      <c r="D54" s="98" t="e">
        <f>_xll.BDP($B54,D$47,$B$42:$B$44,$C$42:$C$44)</f>
        <v>#N/A</v>
      </c>
      <c r="E54" s="98" t="e">
        <f>_xll.BDP($B54,E$47,$B$42:$B$44,$C$42:$C$44)</f>
        <v>#N/A</v>
      </c>
      <c r="F54" s="1530" t="e">
        <f t="shared" si="0"/>
        <v>#N/A</v>
      </c>
      <c r="G54" s="751"/>
      <c r="H54" s="751"/>
      <c r="I54" s="8"/>
    </row>
    <row r="55" spans="2:9" ht="15" customHeight="1">
      <c r="B55" s="1324" t="s">
        <v>557</v>
      </c>
      <c r="C55" s="772" t="e">
        <f>_xll.BDP($B55,C$47,$B$42:$B$44,$C$42:$C$44)</f>
        <v>#N/A</v>
      </c>
      <c r="D55" s="98" t="e">
        <f>_xll.BDP($B55,D$47,$B$42:$B$44,$C$42:$C$44)</f>
        <v>#N/A</v>
      </c>
      <c r="E55" s="98" t="e">
        <f>_xll.BDP($B55,E$47,$B$42:$B$44,$C$42:$C$44)</f>
        <v>#N/A</v>
      </c>
      <c r="F55" s="1530" t="e">
        <f t="shared" si="0"/>
        <v>#N/A</v>
      </c>
      <c r="G55" s="751"/>
      <c r="H55" s="751"/>
      <c r="I55" s="8"/>
    </row>
    <row r="56" spans="2:9" ht="15" customHeight="1">
      <c r="B56" s="1324" t="s">
        <v>556</v>
      </c>
      <c r="C56" s="772" t="e">
        <f>_xll.BDP($B56,C$47,$B$42:$B$44,$C$42:$C$44)</f>
        <v>#N/A</v>
      </c>
      <c r="D56" s="98" t="e">
        <f>_xll.BDP($B56,D$47,$B$42:$B$44,$C$42:$C$44)</f>
        <v>#N/A</v>
      </c>
      <c r="E56" s="98" t="e">
        <f>_xll.BDP($B56,E$47,$B$42:$B$44,$C$42:$C$44)</f>
        <v>#N/A</v>
      </c>
      <c r="F56" s="1531" t="e">
        <f t="shared" si="0"/>
        <v>#N/A</v>
      </c>
      <c r="G56" s="751"/>
      <c r="H56" s="751"/>
      <c r="I56" s="8"/>
    </row>
    <row r="57" spans="2:9" ht="15" customHeight="1">
      <c r="B57" s="11"/>
      <c r="C57" s="9"/>
      <c r="D57" s="9"/>
      <c r="E57" s="9"/>
      <c r="F57" s="9"/>
      <c r="G57" s="9"/>
      <c r="H57" s="9"/>
      <c r="I57" s="10"/>
    </row>
    <row r="59" spans="2:9" ht="21">
      <c r="B59" s="1209" t="s">
        <v>589</v>
      </c>
      <c r="I59" s="1204"/>
    </row>
    <row r="60" spans="2:9" ht="15" customHeight="1">
      <c r="B60" s="30"/>
      <c r="C60" s="6"/>
      <c r="D60" s="6"/>
      <c r="E60" s="6"/>
      <c r="F60" s="6"/>
      <c r="G60" s="6"/>
      <c r="H60" s="6"/>
      <c r="I60" s="8"/>
    </row>
    <row r="61" spans="2:9" ht="15" customHeight="1">
      <c r="B61" s="740" t="s">
        <v>563</v>
      </c>
      <c r="C61" s="1355" t="s">
        <v>1200</v>
      </c>
      <c r="D61" s="442" t="s">
        <v>575</v>
      </c>
      <c r="E61" s="751"/>
      <c r="F61" s="751"/>
      <c r="G61" s="751"/>
      <c r="H61" s="751"/>
      <c r="I61" s="8"/>
    </row>
    <row r="62" spans="2:9" ht="15" customHeight="1">
      <c r="B62" s="740" t="s">
        <v>567</v>
      </c>
      <c r="C62" s="1303" t="s">
        <v>574</v>
      </c>
      <c r="D62" s="443" t="s">
        <v>576</v>
      </c>
      <c r="E62" s="751"/>
      <c r="F62" s="751"/>
      <c r="G62" s="751"/>
      <c r="H62" s="751"/>
      <c r="I62" s="8"/>
    </row>
    <row r="63" spans="2:9" ht="15" customHeight="1">
      <c r="B63" s="740"/>
      <c r="C63" s="751"/>
      <c r="D63" s="751"/>
      <c r="E63" s="751"/>
      <c r="F63" s="751"/>
      <c r="G63" s="751"/>
      <c r="H63" s="751"/>
      <c r="I63" s="8"/>
    </row>
    <row r="64" spans="2:9" ht="15" customHeight="1">
      <c r="B64" s="100"/>
      <c r="C64" s="751"/>
      <c r="D64" s="1077" t="s">
        <v>1515</v>
      </c>
      <c r="E64" s="751"/>
      <c r="F64" s="751"/>
      <c r="G64" s="751"/>
      <c r="H64" s="751"/>
      <c r="I64" s="8"/>
    </row>
    <row r="65" spans="2:9" ht="15" customHeight="1">
      <c r="B65" s="740"/>
      <c r="C65" s="751" t="s">
        <v>585</v>
      </c>
      <c r="D65" s="1150" t="s">
        <v>586</v>
      </c>
      <c r="E65" s="1150" t="s">
        <v>587</v>
      </c>
      <c r="F65" s="1150" t="s">
        <v>553</v>
      </c>
      <c r="G65" s="1150" t="s">
        <v>552</v>
      </c>
      <c r="H65" s="1150" t="s">
        <v>588</v>
      </c>
      <c r="I65" s="24" t="s">
        <v>567</v>
      </c>
    </row>
    <row r="66" spans="2:9" ht="15" customHeight="1">
      <c r="B66" s="1324" t="s">
        <v>572</v>
      </c>
      <c r="C66" s="344" t="e">
        <f ca="1">_xll.BDP($B66,C$65,$B$61:$B$62,$C$61:$C$62)</f>
        <v>#NAME?</v>
      </c>
      <c r="D66" s="101" t="e">
        <f ca="1">_xll.BDP($B66,D$65,$B$61:$B$62,$C$61:$C$62)</f>
        <v>#NAME?</v>
      </c>
      <c r="E66" s="102" t="e">
        <f ca="1">_xll.BDP($B66,E$65,$B$61:$B$62,$C$61:$C$62)</f>
        <v>#NAME?</v>
      </c>
      <c r="F66" s="103" t="e">
        <f ca="1">_xll.BDP($B66,F$65,$B$61:$B$62,$C$61:$C$62)</f>
        <v>#NAME?</v>
      </c>
      <c r="G66" s="101" t="e">
        <f ca="1">_xll.BDP($B66,G$65,$B$61:$B$62,$C$61:$C$62)</f>
        <v>#NAME?</v>
      </c>
      <c r="H66" s="103" t="e">
        <f ca="1">_xll.BDP($B66,H$65,$B$61:$B$62,$C$61:$C$62)</f>
        <v>#NAME?</v>
      </c>
      <c r="I66" s="104" t="e">
        <f ca="1">_xll.BDP($B66,I$65,$B$61:$B$62,$C$61:$C$62)</f>
        <v>#NAME?</v>
      </c>
    </row>
    <row r="67" spans="2:9" ht="15" customHeight="1">
      <c r="B67" s="1324" t="s">
        <v>554</v>
      </c>
      <c r="C67" s="101" t="e">
        <f ca="1">_xll.BDP($B67,C$65,$B$61:$B$62,$C$61:$C$62)</f>
        <v>#NAME?</v>
      </c>
      <c r="D67" s="101" t="e">
        <f ca="1">_xll.BDP($B67,D$65,$B$61:$B$62,$C$61:$C$62)</f>
        <v>#NAME?</v>
      </c>
      <c r="E67" s="102" t="e">
        <f ca="1">_xll.BDP($B67,E$65,$B$61:$B$62,$C$61:$C$62)</f>
        <v>#NAME?</v>
      </c>
      <c r="F67" s="103" t="e">
        <f ca="1">_xll.BDP($B67,F$65,$B$61:$B$62,$C$61:$C$62)</f>
        <v>#NAME?</v>
      </c>
      <c r="G67" s="101" t="e">
        <f ca="1">_xll.BDP($B67,G$65,$B$61:$B$62,$C$61:$C$62)</f>
        <v>#NAME?</v>
      </c>
      <c r="H67" s="103" t="e">
        <f ca="1">_xll.BDP($B67,H$65,$B$61:$B$62,$C$61:$C$62)</f>
        <v>#NAME?</v>
      </c>
      <c r="I67" s="104" t="e">
        <f ca="1">_xll.BDP($B67,I$65,$B$61:$B$62,$C$61:$C$62)</f>
        <v>#NAME?</v>
      </c>
    </row>
    <row r="68" spans="2:9" ht="15" customHeight="1">
      <c r="B68" s="1324" t="s">
        <v>573</v>
      </c>
      <c r="C68" s="101" t="e">
        <f ca="1">_xll.BDP($B68,C$65,$B$61:$B$62,$C$61:$C$62)</f>
        <v>#NAME?</v>
      </c>
      <c r="D68" s="101" t="e">
        <f ca="1">_xll.BDP($B68,D$65,$B$61:$B$62,$C$61:$C$62)</f>
        <v>#NAME?</v>
      </c>
      <c r="E68" s="102" t="e">
        <f ca="1">_xll.BDP($B68,E$65,$B$61:$B$62,$C$61:$C$62)</f>
        <v>#NAME?</v>
      </c>
      <c r="F68" s="103" t="e">
        <f ca="1">_xll.BDP($B68,F$65,$B$61:$B$62,$C$61:$C$62)</f>
        <v>#NAME?</v>
      </c>
      <c r="G68" s="101" t="e">
        <f ca="1">_xll.BDP($B68,G$65,$B$61:$B$62,$C$61:$C$62)</f>
        <v>#NAME?</v>
      </c>
      <c r="H68" s="103" t="e">
        <f ca="1">_xll.BDP($B68,H$65,$B$61:$B$62,$C$61:$C$62)</f>
        <v>#NAME?</v>
      </c>
      <c r="I68" s="104" t="e">
        <f ca="1">_xll.BDP($B68,I$65,$B$61:$B$62,$C$61:$C$62)</f>
        <v>#NAME?</v>
      </c>
    </row>
    <row r="69" spans="2:9" ht="15" customHeight="1">
      <c r="B69" s="1324" t="s">
        <v>570</v>
      </c>
      <c r="C69" s="101" t="e">
        <f ca="1">_xll.BDP($B69,C$65,$B$61:$B$62,$C$61:$C$62)</f>
        <v>#NAME?</v>
      </c>
      <c r="D69" s="101" t="e">
        <f ca="1">_xll.BDP($B69,D$65,$B$61:$B$62,$C$61:$C$62)</f>
        <v>#NAME?</v>
      </c>
      <c r="E69" s="102" t="e">
        <f ca="1">_xll.BDP($B69,E$65,$B$61:$B$62,$C$61:$C$62)</f>
        <v>#NAME?</v>
      </c>
      <c r="F69" s="103" t="e">
        <f ca="1">_xll.BDP($B69,F$65,$B$61:$B$62,$C$61:$C$62)</f>
        <v>#NAME?</v>
      </c>
      <c r="G69" s="101" t="e">
        <f ca="1">_xll.BDP($B69,G$65,$B$61:$B$62,$C$61:$C$62)</f>
        <v>#NAME?</v>
      </c>
      <c r="H69" s="103" t="e">
        <f ca="1">_xll.BDP($B69,H$65,$B$61:$B$62,$C$61:$C$62)</f>
        <v>#NAME?</v>
      </c>
      <c r="I69" s="104" t="e">
        <f ca="1">_xll.BDP($B69,I$65,$B$61:$B$62,$C$61:$C$62)</f>
        <v>#NAME?</v>
      </c>
    </row>
    <row r="70" spans="2:9" ht="15" customHeight="1">
      <c r="B70" s="740"/>
      <c r="C70" s="99"/>
      <c r="D70" s="99"/>
      <c r="E70" s="99"/>
      <c r="F70" s="751"/>
      <c r="G70" s="751"/>
      <c r="H70" s="751"/>
      <c r="I70" s="8"/>
    </row>
    <row r="71" spans="2:9" ht="15" customHeight="1">
      <c r="B71" s="740" t="s">
        <v>246</v>
      </c>
      <c r="C71" s="751"/>
      <c r="D71" s="751"/>
      <c r="E71" s="751"/>
      <c r="F71" s="751"/>
      <c r="G71" s="751"/>
      <c r="H71" s="751"/>
      <c r="I71" s="8"/>
    </row>
    <row r="72" spans="2:9" ht="15" customHeight="1">
      <c r="B72" s="740" t="s">
        <v>221</v>
      </c>
      <c r="C72" s="751"/>
      <c r="D72" s="751"/>
      <c r="E72" s="751"/>
      <c r="F72" s="751"/>
      <c r="G72" s="751"/>
      <c r="H72" s="751"/>
      <c r="I72" s="8"/>
    </row>
    <row r="73" spans="2:9" ht="15" customHeight="1">
      <c r="B73" s="740" t="s">
        <v>222</v>
      </c>
      <c r="C73" s="751"/>
      <c r="D73" s="751"/>
      <c r="E73" s="751"/>
      <c r="F73" s="751"/>
      <c r="G73" s="751"/>
      <c r="H73" s="751"/>
      <c r="I73" s="8"/>
    </row>
    <row r="74" spans="2:9" ht="15" customHeight="1">
      <c r="B74" s="740" t="s">
        <v>223</v>
      </c>
      <c r="C74" s="751"/>
      <c r="D74" s="751"/>
      <c r="E74" s="751"/>
      <c r="F74" s="751"/>
      <c r="G74" s="751"/>
      <c r="H74" s="751"/>
      <c r="I74" s="8"/>
    </row>
    <row r="75" spans="2:9" ht="15" customHeight="1">
      <c r="B75" s="740" t="s">
        <v>224</v>
      </c>
      <c r="C75" s="751"/>
      <c r="D75" s="751"/>
      <c r="E75" s="751"/>
      <c r="F75" s="751"/>
      <c r="G75" s="751"/>
      <c r="H75" s="751"/>
      <c r="I75" s="8"/>
    </row>
    <row r="76" spans="2:9" ht="15" customHeight="1">
      <c r="B76" s="740"/>
      <c r="C76" s="751"/>
      <c r="D76" s="751"/>
      <c r="E76" s="751"/>
      <c r="F76" s="751"/>
      <c r="G76" s="751"/>
      <c r="H76" s="751"/>
      <c r="I76" s="8"/>
    </row>
    <row r="77" spans="2:9" ht="15" customHeight="1">
      <c r="B77" s="100" t="s">
        <v>247</v>
      </c>
      <c r="C77" s="751"/>
      <c r="D77" s="751"/>
      <c r="E77" s="751"/>
      <c r="F77" s="751"/>
      <c r="G77" s="751"/>
      <c r="H77" s="751"/>
      <c r="I77" s="8"/>
    </row>
    <row r="78" spans="2:9" ht="15" customHeight="1">
      <c r="B78" s="11"/>
      <c r="C78" s="9"/>
      <c r="D78" s="9"/>
      <c r="E78" s="9"/>
      <c r="F78" s="9"/>
      <c r="G78" s="105"/>
      <c r="H78" s="105"/>
      <c r="I78" s="106"/>
    </row>
    <row r="79" spans="2:9" ht="15" customHeight="1">
      <c r="G79" s="1141"/>
      <c r="I79" s="1141"/>
    </row>
    <row r="80" spans="2:9" ht="15" customHeight="1">
      <c r="G80" s="1141"/>
      <c r="H80" s="1141"/>
      <c r="I80" s="1141"/>
    </row>
    <row r="81" spans="2:9" ht="15" customHeight="1">
      <c r="B81" s="1119"/>
      <c r="C81" s="1119"/>
      <c r="D81" s="1119"/>
      <c r="E81" s="1119"/>
      <c r="G81" s="1141"/>
      <c r="H81" s="1141"/>
      <c r="I81" s="1141"/>
    </row>
    <row r="82" spans="2:9" ht="15" customHeight="1">
      <c r="B82" s="1118"/>
      <c r="C82" s="1118"/>
      <c r="D82" s="1119"/>
      <c r="E82" s="1119"/>
      <c r="G82" s="1141"/>
      <c r="H82" s="1141"/>
      <c r="I82" s="1141"/>
    </row>
    <row r="83" spans="2:9" ht="15" customHeight="1">
      <c r="B83" s="1118"/>
      <c r="C83" s="1118"/>
      <c r="D83" s="1119"/>
      <c r="E83" s="1119"/>
      <c r="G83" s="1119"/>
      <c r="H83" s="2404"/>
      <c r="I83" s="2404"/>
    </row>
    <row r="84" spans="2:9" ht="15" customHeight="1">
      <c r="B84" s="1118"/>
      <c r="C84" s="1118"/>
      <c r="D84" s="1119"/>
      <c r="E84" s="1119"/>
      <c r="G84" s="1119"/>
      <c r="H84" s="2404"/>
      <c r="I84" s="2404"/>
    </row>
    <row r="85" spans="2:9" ht="15" customHeight="1">
      <c r="B85" s="1118"/>
      <c r="C85" s="1118"/>
      <c r="D85" s="1119"/>
      <c r="E85" s="1119"/>
      <c r="G85" s="1119"/>
      <c r="H85" s="2404"/>
      <c r="I85" s="2404"/>
    </row>
    <row r="86" spans="2:9" ht="15" customHeight="1">
      <c r="B86" s="1118"/>
      <c r="C86" s="1118"/>
      <c r="D86" s="1119"/>
      <c r="E86" s="1119"/>
      <c r="G86" s="1119"/>
      <c r="H86" s="2404"/>
      <c r="I86" s="2404"/>
    </row>
    <row r="87" spans="2:9" ht="15" customHeight="1">
      <c r="B87" s="1118"/>
      <c r="C87" s="1118"/>
      <c r="D87" s="1119"/>
      <c r="E87" s="1119"/>
      <c r="G87" s="1119"/>
      <c r="H87" s="2404"/>
      <c r="I87" s="2404"/>
    </row>
    <row r="88" spans="2:9" ht="15" customHeight="1">
      <c r="B88" s="1118"/>
      <c r="C88" s="1118"/>
      <c r="D88" s="1119"/>
      <c r="E88" s="1119"/>
      <c r="G88" s="1119"/>
      <c r="H88" s="2404"/>
      <c r="I88" s="2404"/>
    </row>
    <row r="89" spans="2:9" ht="15" customHeight="1">
      <c r="B89" s="1118"/>
      <c r="C89" s="1118"/>
      <c r="D89" s="1119"/>
      <c r="E89" s="1119"/>
    </row>
    <row r="90" spans="2:9" ht="15" customHeight="1">
      <c r="B90" s="1118"/>
      <c r="C90" s="1118"/>
      <c r="D90" s="1119"/>
      <c r="E90" s="1119"/>
    </row>
  </sheetData>
  <mergeCells count="8">
    <mergeCell ref="H87:I87"/>
    <mergeCell ref="H88:I88"/>
    <mergeCell ref="G51:H51"/>
    <mergeCell ref="G52:H52"/>
    <mergeCell ref="H83:I83"/>
    <mergeCell ref="H84:I84"/>
    <mergeCell ref="H85:I85"/>
    <mergeCell ref="H86:I86"/>
  </mergeCells>
  <phoneticPr fontId="0" type="noConversion"/>
  <conditionalFormatting sqref="G21:G29">
    <cfRule type="colorScale" priority="3">
      <colorScale>
        <cfvo type="min"/>
        <cfvo type="percentile" val="50"/>
        <cfvo type="max"/>
        <color rgb="FFF8696B"/>
        <color rgb="FFFFEB84"/>
        <color rgb="FF63BE7B"/>
      </colorScale>
    </cfRule>
  </conditionalFormatting>
  <conditionalFormatting sqref="F48:F56">
    <cfRule type="colorScale" priority="1">
      <colorScale>
        <cfvo type="min"/>
        <cfvo type="max"/>
        <color rgb="FF63BE7B"/>
        <color rgb="FFFFEF9C"/>
      </colorScale>
    </cfRule>
  </conditionalFormatting>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rgb="FFFFFFCC"/>
  </sheetPr>
  <dimension ref="A1:S412"/>
  <sheetViews>
    <sheetView zoomScale="90" zoomScaleNormal="90" workbookViewId="0"/>
  </sheetViews>
  <sheetFormatPr baseColWidth="10" defaultColWidth="9.140625" defaultRowHeight="15"/>
  <cols>
    <col min="1" max="1" width="3.7109375" style="1117" customWidth="1"/>
    <col min="2" max="2" width="19.140625" style="1117" customWidth="1"/>
    <col min="3" max="3" width="16.42578125" style="1117" customWidth="1"/>
    <col min="4" max="4" width="16.85546875" style="1117" customWidth="1"/>
    <col min="5" max="5" width="17.140625" style="1117" customWidth="1"/>
    <col min="6" max="6" width="21.28515625" style="1117" customWidth="1"/>
    <col min="7" max="7" width="15.85546875" style="1117" customWidth="1"/>
    <col min="8" max="8" width="16.5703125" style="1117" customWidth="1"/>
    <col min="9" max="9" width="15" style="1117" customWidth="1"/>
    <col min="10" max="10" width="17.85546875" style="1117" customWidth="1"/>
    <col min="11" max="11" width="16" style="1117" customWidth="1"/>
    <col min="12" max="12" width="12.5703125" style="1117" customWidth="1"/>
    <col min="13" max="13" width="11" style="1117" customWidth="1"/>
    <col min="14" max="16384" width="9.140625" style="1117"/>
  </cols>
  <sheetData>
    <row r="1" spans="1:2" ht="17.25" customHeight="1">
      <c r="A1" s="1154"/>
    </row>
    <row r="5" spans="1:2" ht="21">
      <c r="B5" s="1408" t="s">
        <v>262</v>
      </c>
    </row>
    <row r="6" spans="1:2">
      <c r="B6" s="1564" t="s">
        <v>1834</v>
      </c>
    </row>
    <row r="8" spans="1:2">
      <c r="B8" s="1189" t="s">
        <v>21</v>
      </c>
    </row>
    <row r="9" spans="1:2">
      <c r="B9" s="1409" t="s">
        <v>263</v>
      </c>
    </row>
    <row r="10" spans="1:2">
      <c r="B10" s="1189" t="s">
        <v>264</v>
      </c>
    </row>
    <row r="11" spans="1:2">
      <c r="B11" s="1409" t="s">
        <v>265</v>
      </c>
    </row>
    <row r="12" spans="1:2">
      <c r="B12" s="1410" t="s">
        <v>261</v>
      </c>
    </row>
    <row r="13" spans="1:2">
      <c r="B13" s="1409" t="s">
        <v>266</v>
      </c>
    </row>
    <row r="15" spans="1:2">
      <c r="B15" s="1190" t="s">
        <v>267</v>
      </c>
    </row>
    <row r="17" spans="2:12" ht="21">
      <c r="B17" s="1408" t="s">
        <v>268</v>
      </c>
    </row>
    <row r="18" spans="2:12" ht="21">
      <c r="B18" s="1408"/>
    </row>
    <row r="19" spans="2:12">
      <c r="B19" s="1411" t="s">
        <v>269</v>
      </c>
      <c r="K19" s="1117" t="s">
        <v>1831</v>
      </c>
    </row>
    <row r="20" spans="2:12">
      <c r="B20" s="1411"/>
    </row>
    <row r="22" spans="2:12">
      <c r="J22" s="1117" t="s">
        <v>270</v>
      </c>
    </row>
    <row r="23" spans="2:12">
      <c r="G23" s="1117" t="s">
        <v>271</v>
      </c>
      <c r="J23" s="1412" t="s">
        <v>272</v>
      </c>
    </row>
    <row r="29" spans="2:12">
      <c r="L29" s="1412"/>
    </row>
    <row r="40" spans="2:12" ht="21">
      <c r="B40" s="1879"/>
      <c r="C40" s="1880"/>
      <c r="D40" s="1880"/>
      <c r="E40" s="1880"/>
    </row>
    <row r="41" spans="2:12" ht="21">
      <c r="B41" s="1879"/>
      <c r="C41" s="1880"/>
      <c r="D41" s="1880"/>
      <c r="E41" s="1880"/>
    </row>
    <row r="44" spans="2:12" ht="21">
      <c r="B44" s="1408" t="s">
        <v>273</v>
      </c>
      <c r="C44" s="1119"/>
      <c r="D44" s="1119"/>
      <c r="E44" s="1119"/>
      <c r="F44" s="1119"/>
      <c r="G44" s="1119"/>
      <c r="H44" s="1119"/>
      <c r="I44" s="1119"/>
      <c r="L44" s="1562" t="s">
        <v>1832</v>
      </c>
    </row>
    <row r="45" spans="2:12">
      <c r="B45" s="30" t="s">
        <v>274</v>
      </c>
      <c r="C45" s="6"/>
      <c r="D45" s="1535" t="s">
        <v>275</v>
      </c>
      <c r="E45" s="6"/>
      <c r="F45" s="6"/>
      <c r="G45" s="6"/>
      <c r="H45" s="6"/>
      <c r="I45" s="6"/>
      <c r="J45" s="7"/>
    </row>
    <row r="46" spans="2:12">
      <c r="B46" s="1324" t="s">
        <v>276</v>
      </c>
      <c r="C46" s="1536" t="e">
        <f ca="1">_xll.BDP(B46,"Security name")</f>
        <v>#NAME?</v>
      </c>
      <c r="D46" s="750"/>
      <c r="E46" s="750"/>
      <c r="F46" s="751"/>
      <c r="G46" s="751"/>
      <c r="H46" s="751"/>
      <c r="I46" s="751"/>
      <c r="J46" s="8"/>
    </row>
    <row r="47" spans="2:12">
      <c r="B47" s="740"/>
      <c r="C47" s="751"/>
      <c r="D47" s="750"/>
      <c r="E47" s="1536" t="s">
        <v>277</v>
      </c>
      <c r="F47" s="751"/>
      <c r="G47" s="751"/>
      <c r="H47" s="751"/>
      <c r="I47" s="1536" t="s">
        <v>278</v>
      </c>
      <c r="J47" s="8"/>
    </row>
    <row r="48" spans="2:12">
      <c r="B48" s="1324" t="s">
        <v>890</v>
      </c>
      <c r="C48" s="751"/>
      <c r="D48" s="1537" t="e">
        <f ca="1">_xll.BDP($B$46,B48)</f>
        <v>#NAME?</v>
      </c>
      <c r="E48" s="750"/>
      <c r="F48" s="1538" t="s">
        <v>52</v>
      </c>
      <c r="G48" s="750"/>
      <c r="H48" s="1537" t="e">
        <f ca="1">_xll.BDP($B$46,F48)</f>
        <v>#NAME?</v>
      </c>
      <c r="I48" s="750"/>
      <c r="J48" s="8"/>
    </row>
    <row r="49" spans="2:13">
      <c r="B49" s="1324" t="s">
        <v>426</v>
      </c>
      <c r="C49" s="751"/>
      <c r="D49" s="1542" t="e">
        <f ca="1">_xll.BDP($B$46,B49)</f>
        <v>#NAME?</v>
      </c>
      <c r="E49" s="750"/>
      <c r="F49" s="1322" t="s">
        <v>279</v>
      </c>
      <c r="G49" s="750"/>
      <c r="H49" s="1520" t="e">
        <f ca="1">_xll.BDP($B$46,F49)</f>
        <v>#NAME?</v>
      </c>
      <c r="I49" s="750"/>
      <c r="J49" s="8"/>
    </row>
    <row r="50" spans="2:13">
      <c r="B50" s="1324" t="s">
        <v>280</v>
      </c>
      <c r="C50" s="751"/>
      <c r="D50" s="1542" t="e">
        <f ca="1">_xll.BDP($B$46,B50)</f>
        <v>#NAME?</v>
      </c>
      <c r="E50" s="750"/>
      <c r="F50" s="1322" t="s">
        <v>281</v>
      </c>
      <c r="G50" s="750"/>
      <c r="H50" s="1520" t="e">
        <f ca="1">_xll.BDP($B$46,F50)</f>
        <v>#NAME?</v>
      </c>
      <c r="I50" s="750"/>
      <c r="J50" s="8"/>
    </row>
    <row r="51" spans="2:13">
      <c r="B51" s="1324" t="s">
        <v>463</v>
      </c>
      <c r="C51" s="751"/>
      <c r="D51" s="1542" t="e">
        <f ca="1">_xll.BDP($B$46,B51)</f>
        <v>#NAME?</v>
      </c>
      <c r="E51" s="750"/>
      <c r="F51" s="1322" t="s">
        <v>282</v>
      </c>
      <c r="G51" s="750"/>
      <c r="H51" s="1539" t="e">
        <f ca="1">_xll.BDP($B$46,F51)</f>
        <v>#NAME?</v>
      </c>
      <c r="I51" s="750"/>
      <c r="J51" s="8"/>
    </row>
    <row r="52" spans="2:13">
      <c r="B52" s="1322" t="s">
        <v>283</v>
      </c>
      <c r="C52" s="751"/>
      <c r="D52" s="1539" t="e">
        <f ca="1">_xll.BDP($B$46,B52)</f>
        <v>#NAME?</v>
      </c>
      <c r="E52" s="750"/>
      <c r="F52" s="1322" t="s">
        <v>284</v>
      </c>
      <c r="G52" s="750"/>
      <c r="H52" s="1520" t="e">
        <f ca="1">_xll.BDP($B$46,F52)</f>
        <v>#NAME?</v>
      </c>
      <c r="I52" s="750"/>
      <c r="J52" s="8"/>
    </row>
    <row r="53" spans="2:13">
      <c r="B53" s="1322" t="s">
        <v>285</v>
      </c>
      <c r="C53" s="751"/>
      <c r="D53" s="1520" t="e">
        <f ca="1">_xll.BDP($B$46,B53)</f>
        <v>#NAME?</v>
      </c>
      <c r="E53" s="750"/>
      <c r="F53" s="1322" t="s">
        <v>286</v>
      </c>
      <c r="G53" s="750"/>
      <c r="H53" s="1520" t="e">
        <f ca="1">_xll.BDP($B$46,F53)</f>
        <v>#NAME?</v>
      </c>
      <c r="I53" s="750"/>
      <c r="J53" s="8"/>
    </row>
    <row r="54" spans="2:13">
      <c r="B54" s="1322" t="s">
        <v>287</v>
      </c>
      <c r="C54" s="751"/>
      <c r="D54" s="1520" t="e">
        <f ca="1">_xll.BDP($B$46,B54)</f>
        <v>#NAME?</v>
      </c>
      <c r="E54" s="750"/>
      <c r="F54" s="1322" t="s">
        <v>288</v>
      </c>
      <c r="G54" s="750"/>
      <c r="H54" s="1520" t="e">
        <f ca="1">_xll.BDP($B$46,F54)</f>
        <v>#NAME?</v>
      </c>
      <c r="I54" s="750"/>
      <c r="J54" s="8"/>
    </row>
    <row r="55" spans="2:13">
      <c r="B55" s="1322" t="s">
        <v>289</v>
      </c>
      <c r="C55" s="751"/>
      <c r="D55" s="1520" t="e">
        <f ca="1">_xll.BDP($B$46,B55)</f>
        <v>#NAME?</v>
      </c>
      <c r="E55" s="750"/>
      <c r="F55" s="1322" t="s">
        <v>290</v>
      </c>
      <c r="G55" s="750"/>
      <c r="H55" s="1520" t="e">
        <f ca="1">_xll.BDP($B$46,F55)</f>
        <v>#NAME?</v>
      </c>
      <c r="I55" s="750"/>
      <c r="J55" s="8"/>
      <c r="K55" s="1119"/>
      <c r="L55" s="1119"/>
      <c r="M55" s="1119"/>
    </row>
    <row r="56" spans="2:13">
      <c r="B56" s="1322" t="s">
        <v>291</v>
      </c>
      <c r="C56" s="751"/>
      <c r="D56" s="1520" t="e">
        <f ca="1">_xll.BDP($B$46,B56)</f>
        <v>#NAME?</v>
      </c>
      <c r="E56" s="750"/>
      <c r="F56" s="1322" t="s">
        <v>292</v>
      </c>
      <c r="G56" s="750"/>
      <c r="H56" s="1520" t="e">
        <f ca="1">_xll.BDP($B$46,F56)</f>
        <v>#NAME?</v>
      </c>
      <c r="I56" s="750"/>
      <c r="J56" s="8"/>
      <c r="K56" s="1119"/>
      <c r="L56" s="1119"/>
      <c r="M56" s="1119"/>
    </row>
    <row r="57" spans="2:13">
      <c r="B57" s="1322" t="s">
        <v>293</v>
      </c>
      <c r="C57" s="751"/>
      <c r="D57" s="1520" t="e">
        <f ca="1">_xll.BDP($B$46,B57)</f>
        <v>#NAME?</v>
      </c>
      <c r="E57" s="750"/>
      <c r="F57" s="1322" t="s">
        <v>294</v>
      </c>
      <c r="G57" s="750"/>
      <c r="H57" s="1520" t="e">
        <f ca="1">_xll.BDP($B$46,F57)</f>
        <v>#NAME?</v>
      </c>
      <c r="I57" s="750"/>
      <c r="J57" s="8"/>
      <c r="K57" s="1142"/>
      <c r="L57" s="1119"/>
      <c r="M57" s="1119"/>
    </row>
    <row r="58" spans="2:13">
      <c r="B58" s="1322" t="s">
        <v>295</v>
      </c>
      <c r="C58" s="751"/>
      <c r="D58" s="1520" t="e">
        <f ca="1">_xll.BDP($B$46,B58)</f>
        <v>#NAME?</v>
      </c>
      <c r="E58" s="750"/>
      <c r="F58" s="1322" t="s">
        <v>296</v>
      </c>
      <c r="G58" s="750"/>
      <c r="H58" s="1520" t="e">
        <f ca="1">_xll.BDP($B$46,F58)</f>
        <v>#NAME?</v>
      </c>
      <c r="I58" s="750"/>
      <c r="J58" s="8"/>
      <c r="K58" s="1119"/>
      <c r="L58" s="1119"/>
      <c r="M58" s="1119"/>
    </row>
    <row r="59" spans="2:13">
      <c r="B59" s="1324" t="s">
        <v>297</v>
      </c>
      <c r="C59" s="751"/>
      <c r="D59" s="1520" t="e">
        <f ca="1">_xll.BDP($B$46,B59)</f>
        <v>#NAME?</v>
      </c>
      <c r="E59" s="750"/>
      <c r="F59" s="1322" t="s">
        <v>298</v>
      </c>
      <c r="G59" s="750"/>
      <c r="H59" s="1540" t="e">
        <f ca="1">_xll.BDP($B$46,F59)</f>
        <v>#NAME?</v>
      </c>
      <c r="I59" s="750"/>
      <c r="J59" s="8"/>
      <c r="K59" s="1119"/>
      <c r="L59" s="1119"/>
      <c r="M59" s="1119"/>
    </row>
    <row r="60" spans="2:13">
      <c r="B60" s="1324" t="s">
        <v>299</v>
      </c>
      <c r="C60" s="751"/>
      <c r="D60" s="1541" t="e">
        <f ca="1">_xll.BDP($B$46,B60)</f>
        <v>#NAME?</v>
      </c>
      <c r="E60" s="750"/>
      <c r="F60" s="1324" t="s">
        <v>300</v>
      </c>
      <c r="G60" s="750"/>
      <c r="H60" s="1541" t="e">
        <f ca="1">_xll.BDP($B$46,F60)</f>
        <v>#NAME?</v>
      </c>
      <c r="I60" s="750"/>
      <c r="J60" s="8"/>
      <c r="K60" s="1119"/>
      <c r="L60" s="1119"/>
      <c r="M60" s="1119"/>
    </row>
    <row r="61" spans="2:13">
      <c r="B61" s="1324" t="s">
        <v>301</v>
      </c>
      <c r="C61" s="751"/>
      <c r="D61" s="1541" t="e">
        <f ca="1">_xll.BDP($B$46,B61)</f>
        <v>#NAME?</v>
      </c>
      <c r="E61" s="750"/>
      <c r="F61" s="1324" t="s">
        <v>302</v>
      </c>
      <c r="G61" s="750"/>
      <c r="H61" s="1541" t="e">
        <f ca="1">_xll.BDP($B$46,F61)</f>
        <v>#NAME?</v>
      </c>
      <c r="I61" s="750"/>
      <c r="J61" s="8"/>
      <c r="K61" s="1119"/>
      <c r="L61" s="1119"/>
      <c r="M61" s="1119"/>
    </row>
    <row r="62" spans="2:13">
      <c r="B62" s="740"/>
      <c r="C62" s="751"/>
      <c r="D62" s="751"/>
      <c r="E62" s="751"/>
      <c r="F62" s="751"/>
      <c r="G62" s="750"/>
      <c r="H62" s="751"/>
      <c r="I62" s="751"/>
      <c r="J62" s="8"/>
      <c r="K62" s="1119"/>
      <c r="L62" s="1119"/>
      <c r="M62" s="1119"/>
    </row>
    <row r="63" spans="2:13">
      <c r="B63" s="740" t="s">
        <v>303</v>
      </c>
      <c r="C63" s="751"/>
      <c r="D63" s="751"/>
      <c r="E63" s="751"/>
      <c r="F63" s="751" t="s">
        <v>303</v>
      </c>
      <c r="G63" s="750"/>
      <c r="H63" s="751"/>
      <c r="I63" s="751"/>
      <c r="J63" s="8"/>
      <c r="K63" s="1119"/>
      <c r="L63" s="1119"/>
      <c r="M63" s="1119"/>
    </row>
    <row r="64" spans="2:13">
      <c r="B64" s="11"/>
      <c r="C64" s="9"/>
      <c r="D64" s="9"/>
      <c r="E64" s="9"/>
      <c r="F64" s="9"/>
      <c r="G64" s="9"/>
      <c r="H64" s="9"/>
      <c r="I64" s="9"/>
      <c r="J64" s="10"/>
      <c r="K64" s="1119"/>
      <c r="L64" s="1119"/>
      <c r="M64" s="1119"/>
    </row>
    <row r="65" spans="2:13">
      <c r="K65" s="1119"/>
      <c r="L65" s="1119"/>
      <c r="M65" s="1119"/>
    </row>
    <row r="66" spans="2:13">
      <c r="B66" s="1413" t="s">
        <v>304</v>
      </c>
      <c r="K66" s="1119"/>
      <c r="L66" s="1119"/>
      <c r="M66" s="1119"/>
    </row>
    <row r="67" spans="2:13" ht="18" customHeight="1">
      <c r="K67" s="1119"/>
      <c r="L67" s="1119"/>
      <c r="M67" s="1119"/>
    </row>
    <row r="68" spans="2:13" ht="18" customHeight="1">
      <c r="K68" s="1119"/>
      <c r="L68" s="1119"/>
      <c r="M68" s="1119"/>
    </row>
    <row r="69" spans="2:13" ht="18" customHeight="1">
      <c r="K69" s="1119"/>
      <c r="L69" s="1563" t="s">
        <v>1833</v>
      </c>
    </row>
    <row r="70" spans="2:13" ht="18" customHeight="1">
      <c r="K70" s="1119"/>
      <c r="L70" s="1119"/>
      <c r="M70" s="1119"/>
    </row>
    <row r="71" spans="2:13" ht="18" customHeight="1">
      <c r="K71" s="1119"/>
      <c r="L71" s="1119"/>
      <c r="M71" s="1119"/>
    </row>
    <row r="72" spans="2:13" ht="18" customHeight="1">
      <c r="K72" s="1119"/>
      <c r="L72" s="1119"/>
      <c r="M72" s="1119"/>
    </row>
    <row r="73" spans="2:13">
      <c r="B73" s="30" t="s">
        <v>305</v>
      </c>
      <c r="C73" s="6"/>
      <c r="D73" s="6"/>
      <c r="E73" s="6"/>
      <c r="F73" s="6"/>
      <c r="G73" s="6"/>
      <c r="H73" s="6"/>
      <c r="I73" s="6"/>
      <c r="J73" s="7"/>
      <c r="K73" s="1119"/>
      <c r="L73" s="1119"/>
      <c r="M73" s="1119"/>
    </row>
    <row r="74" spans="2:13">
      <c r="B74" s="740"/>
      <c r="C74" s="751"/>
      <c r="D74" s="751"/>
      <c r="E74" s="751"/>
      <c r="F74" s="751"/>
      <c r="G74" s="751"/>
      <c r="H74" s="751"/>
      <c r="I74" s="751"/>
      <c r="J74" s="8"/>
      <c r="K74" s="1119"/>
      <c r="L74" s="1119"/>
    </row>
    <row r="75" spans="2:13">
      <c r="B75" s="740" t="s">
        <v>306</v>
      </c>
      <c r="C75" s="751"/>
      <c r="D75" s="751"/>
      <c r="E75" s="751"/>
      <c r="F75" s="751"/>
      <c r="G75" s="751"/>
      <c r="H75" s="751"/>
      <c r="I75" s="751"/>
      <c r="J75" s="8"/>
      <c r="K75" s="1119"/>
      <c r="L75" s="1119"/>
      <c r="M75" s="1119"/>
    </row>
    <row r="76" spans="2:13">
      <c r="B76" s="740"/>
      <c r="C76" s="751"/>
      <c r="D76" s="751"/>
      <c r="E76" s="751"/>
      <c r="F76" s="751"/>
      <c r="G76" s="751"/>
      <c r="H76" s="751"/>
      <c r="I76" s="751"/>
      <c r="J76" s="8"/>
      <c r="K76" s="1119"/>
      <c r="L76" s="1119"/>
      <c r="M76" s="1119"/>
    </row>
    <row r="77" spans="2:13">
      <c r="B77" s="740"/>
      <c r="C77" s="1537" t="s">
        <v>307</v>
      </c>
      <c r="D77" s="751"/>
      <c r="E77" s="751"/>
      <c r="F77" s="751"/>
      <c r="G77" s="751"/>
      <c r="H77" s="751"/>
      <c r="I77" s="751"/>
      <c r="J77" s="8"/>
      <c r="K77" s="1119"/>
      <c r="L77" s="1119"/>
    </row>
    <row r="78" spans="2:13">
      <c r="B78" s="740"/>
      <c r="C78" s="1521" t="s">
        <v>889</v>
      </c>
      <c r="D78" s="1521" t="s">
        <v>308</v>
      </c>
      <c r="E78" s="1521" t="s">
        <v>309</v>
      </c>
      <c r="F78" s="1521" t="s">
        <v>310</v>
      </c>
      <c r="G78" s="446" t="s">
        <v>311</v>
      </c>
      <c r="H78" s="750"/>
      <c r="I78" s="750"/>
      <c r="J78" s="8"/>
      <c r="K78" s="1119"/>
      <c r="L78" s="1119"/>
      <c r="M78" s="1119"/>
    </row>
    <row r="79" spans="2:13">
      <c r="B79" s="1324" t="s">
        <v>276</v>
      </c>
      <c r="C79" s="1543" t="e">
        <f ca="1">_xll.BDP($B79,C$78,$G$78,$G79)</f>
        <v>#NAME?</v>
      </c>
      <c r="D79" s="1521" t="e">
        <f ca="1">_xll.BDP($B79,D$78,$G$78,$G79)</f>
        <v>#NAME?</v>
      </c>
      <c r="E79" s="1521" t="e">
        <f ca="1">_xll.BDP($B79,E$78,$G$78,$G79)</f>
        <v>#NAME?</v>
      </c>
      <c r="F79" s="1521" t="e">
        <f ca="1">_xll.BDP($B79,F$78,$G$78,$G79)</f>
        <v>#NAME?</v>
      </c>
      <c r="G79" s="1422">
        <v>20110930</v>
      </c>
      <c r="H79" s="750"/>
      <c r="I79" s="750"/>
      <c r="J79" s="8"/>
      <c r="K79" s="1119"/>
      <c r="L79" s="1119"/>
      <c r="M79" s="1119"/>
    </row>
    <row r="80" spans="2:13">
      <c r="B80" s="1324" t="s">
        <v>312</v>
      </c>
      <c r="C80" s="1520" t="e">
        <f ca="1">_xll.BDP($B80,C$78,$G$78,$G80)</f>
        <v>#NAME?</v>
      </c>
      <c r="D80" s="1521" t="e">
        <f ca="1">_xll.BDP($B80,D$78,$G$78,$G80)</f>
        <v>#NAME?</v>
      </c>
      <c r="E80" s="1521" t="e">
        <f ca="1">_xll.BDP($B80,E$78,$G$78,$G80)</f>
        <v>#NAME?</v>
      </c>
      <c r="F80" s="1521" t="e">
        <f ca="1">_xll.BDP($B80,F$78,$G$78,$G80)</f>
        <v>#NAME?</v>
      </c>
      <c r="G80" s="1422">
        <v>20110630</v>
      </c>
      <c r="H80" s="750"/>
      <c r="I80" s="750"/>
      <c r="J80" s="8"/>
      <c r="K80" s="1119"/>
      <c r="L80" s="1119"/>
      <c r="M80" s="1119"/>
    </row>
    <row r="81" spans="2:13">
      <c r="B81" s="11"/>
      <c r="C81" s="9"/>
      <c r="D81" s="9"/>
      <c r="E81" s="9"/>
      <c r="F81" s="9"/>
      <c r="G81" s="9"/>
      <c r="H81" s="9"/>
      <c r="I81" s="9"/>
      <c r="J81" s="10"/>
      <c r="K81" s="1119"/>
      <c r="L81" s="1119"/>
      <c r="M81" s="1119"/>
    </row>
    <row r="83" spans="2:13">
      <c r="B83" s="30" t="s">
        <v>313</v>
      </c>
      <c r="C83" s="6"/>
      <c r="D83" s="6"/>
      <c r="E83" s="6"/>
      <c r="F83" s="6"/>
      <c r="G83" s="6"/>
      <c r="H83" s="6"/>
      <c r="I83" s="6"/>
      <c r="J83" s="6"/>
      <c r="K83" s="1202"/>
      <c r="L83" s="1119"/>
      <c r="M83" s="1119"/>
    </row>
    <row r="84" spans="2:13">
      <c r="B84" s="740"/>
      <c r="C84" s="751"/>
      <c r="D84" s="751"/>
      <c r="E84" s="751"/>
      <c r="F84" s="751"/>
      <c r="G84" s="751"/>
      <c r="H84" s="751"/>
      <c r="I84" s="751"/>
      <c r="J84" s="751"/>
      <c r="K84" s="1202"/>
      <c r="L84" s="1119"/>
      <c r="M84" s="1119"/>
    </row>
    <row r="85" spans="2:13">
      <c r="B85" s="447" t="s">
        <v>314</v>
      </c>
      <c r="C85" s="751" t="s">
        <v>315</v>
      </c>
      <c r="D85" s="751"/>
      <c r="E85" s="751"/>
      <c r="F85" s="751"/>
      <c r="G85" s="751"/>
      <c r="H85" s="751"/>
      <c r="I85" s="751"/>
      <c r="J85" s="751"/>
      <c r="K85" s="1202"/>
      <c r="L85" s="1119"/>
      <c r="M85" s="1119"/>
    </row>
    <row r="86" spans="2:13">
      <c r="B86" s="447" t="s">
        <v>316</v>
      </c>
      <c r="C86" s="751" t="s">
        <v>317</v>
      </c>
      <c r="D86" s="751"/>
      <c r="E86" s="751"/>
      <c r="F86" s="751"/>
      <c r="G86" s="751"/>
      <c r="H86" s="751"/>
      <c r="I86" s="751"/>
      <c r="J86" s="751"/>
      <c r="K86" s="1202"/>
      <c r="L86" s="1119"/>
      <c r="M86" s="1119"/>
    </row>
    <row r="87" spans="2:13">
      <c r="B87" s="447" t="s">
        <v>318</v>
      </c>
      <c r="C87" s="751" t="s">
        <v>1237</v>
      </c>
      <c r="D87" s="751"/>
      <c r="E87" s="751"/>
      <c r="F87" s="751"/>
      <c r="G87" s="751"/>
      <c r="H87" s="751"/>
      <c r="I87" s="751"/>
      <c r="J87" s="751"/>
      <c r="K87" s="1202"/>
      <c r="L87" s="1119"/>
      <c r="M87" s="1119"/>
    </row>
    <row r="88" spans="2:13">
      <c r="B88" s="447" t="s">
        <v>319</v>
      </c>
      <c r="C88" s="751" t="s">
        <v>320</v>
      </c>
      <c r="D88" s="751"/>
      <c r="E88" s="751"/>
      <c r="F88" s="751"/>
      <c r="G88" s="751"/>
      <c r="H88" s="751"/>
      <c r="I88" s="751"/>
      <c r="J88" s="751"/>
      <c r="K88" s="1202"/>
      <c r="L88" s="1119"/>
      <c r="M88" s="1119"/>
    </row>
    <row r="89" spans="2:13">
      <c r="B89" s="740"/>
      <c r="C89" s="751"/>
      <c r="D89" s="751"/>
      <c r="E89" s="751"/>
      <c r="F89" s="751"/>
      <c r="G89" s="751"/>
      <c r="H89" s="751"/>
      <c r="I89" s="751"/>
      <c r="J89" s="751"/>
      <c r="K89" s="1202"/>
      <c r="L89" s="1119"/>
      <c r="M89" s="1119"/>
    </row>
    <row r="90" spans="2:13" s="1269" customFormat="1">
      <c r="B90" s="1545" t="s">
        <v>321</v>
      </c>
      <c r="C90" s="1546"/>
      <c r="D90" s="1547" t="s">
        <v>322</v>
      </c>
      <c r="E90" s="1548"/>
      <c r="F90" s="1547" t="s">
        <v>323</v>
      </c>
      <c r="G90" s="1548"/>
      <c r="H90" s="1547" t="s">
        <v>319</v>
      </c>
      <c r="I90" s="13"/>
      <c r="J90" s="13"/>
      <c r="K90" s="1197"/>
      <c r="L90" s="1142"/>
      <c r="M90" s="1142"/>
    </row>
    <row r="91" spans="2:13">
      <c r="B91" s="1549" t="s">
        <v>324</v>
      </c>
      <c r="C91" s="751"/>
      <c r="D91" s="1550" t="s">
        <v>325</v>
      </c>
      <c r="E91" s="750"/>
      <c r="F91" s="1550" t="s">
        <v>326</v>
      </c>
      <c r="G91" s="750"/>
      <c r="H91" s="1551" t="s">
        <v>327</v>
      </c>
      <c r="I91" s="1550" t="s">
        <v>328</v>
      </c>
      <c r="J91" s="1552"/>
      <c r="K91" s="1202"/>
      <c r="L91" s="1119"/>
      <c r="M91" s="1119"/>
    </row>
    <row r="92" spans="2:13">
      <c r="B92" s="1324" t="s">
        <v>276</v>
      </c>
      <c r="C92" s="751"/>
      <c r="D92" s="1324" t="s">
        <v>276</v>
      </c>
      <c r="E92" s="750"/>
      <c r="F92" s="751"/>
      <c r="G92" s="750"/>
      <c r="H92" s="1422" t="s">
        <v>329</v>
      </c>
      <c r="I92" s="1422" t="s">
        <v>330</v>
      </c>
      <c r="J92" s="8"/>
      <c r="K92" s="1119"/>
      <c r="L92" s="1119"/>
      <c r="M92" s="1119"/>
    </row>
    <row r="93" spans="2:13">
      <c r="B93" s="1324" t="s">
        <v>331</v>
      </c>
      <c r="C93" s="751"/>
      <c r="D93" s="1324" t="s">
        <v>332</v>
      </c>
      <c r="E93" s="750"/>
      <c r="F93" s="751"/>
      <c r="G93" s="750"/>
      <c r="H93" s="750"/>
      <c r="I93" s="750"/>
      <c r="J93" s="751"/>
      <c r="K93" s="1202"/>
      <c r="L93" s="1119"/>
      <c r="M93" s="1119"/>
    </row>
    <row r="94" spans="2:13" ht="15.75">
      <c r="B94" s="1544" t="e">
        <f>_xll.BDS(B92,B93,"StartCol=2","EndCol=2","cols=1;rows=19")</f>
        <v>#N/A</v>
      </c>
      <c r="C94" s="751"/>
      <c r="D94" s="1543" t="e">
        <f ca="1">_xll.BDP($D$92,$D$93)</f>
        <v>#NAME?</v>
      </c>
      <c r="E94" s="750"/>
      <c r="F94" s="1543" t="e">
        <f t="shared" ref="F94:F112" ca="1" si="0">D94&amp;" "&amp;B94&amp;" mtge"</f>
        <v>#NAME?</v>
      </c>
      <c r="G94" s="750"/>
      <c r="H94" s="1543" t="e">
        <f ca="1">_xll.BDP($F94,H$92)</f>
        <v>#NAME?</v>
      </c>
      <c r="I94" s="1543" t="e">
        <f ca="1">_xll.BDP($F94,I$92)</f>
        <v>#NAME?</v>
      </c>
      <c r="J94" s="751"/>
      <c r="K94" s="1202"/>
      <c r="L94" s="1119"/>
      <c r="M94" s="1155" t="s">
        <v>1830</v>
      </c>
    </row>
    <row r="95" spans="2:13">
      <c r="B95" s="740" t="s">
        <v>333</v>
      </c>
      <c r="C95" s="751"/>
      <c r="D95" s="751" t="e">
        <f ca="1">_xll.BDP($D$92,$D$93)</f>
        <v>#NAME?</v>
      </c>
      <c r="E95" s="750"/>
      <c r="F95" s="751" t="e">
        <f t="shared" ca="1" si="0"/>
        <v>#NAME?</v>
      </c>
      <c r="G95" s="750"/>
      <c r="H95" s="751" t="e">
        <f ca="1">_xll.BDP($F95,H$92)</f>
        <v>#NAME?</v>
      </c>
      <c r="I95" s="751" t="e">
        <f ca="1">_xll.BDP($F95,I$92)</f>
        <v>#NAME?</v>
      </c>
      <c r="J95" s="751"/>
      <c r="K95" s="1202"/>
      <c r="L95" s="1119"/>
      <c r="M95" s="1119"/>
    </row>
    <row r="96" spans="2:13">
      <c r="B96" s="740" t="s">
        <v>334</v>
      </c>
      <c r="C96" s="751"/>
      <c r="D96" s="751" t="e">
        <f ca="1">_xll.BDP($D$92,$D$93)</f>
        <v>#NAME?</v>
      </c>
      <c r="E96" s="750"/>
      <c r="F96" s="751" t="e">
        <f t="shared" ca="1" si="0"/>
        <v>#NAME?</v>
      </c>
      <c r="G96" s="750"/>
      <c r="H96" s="751" t="e">
        <f ca="1">_xll.BDP($F96,H$92)</f>
        <v>#NAME?</v>
      </c>
      <c r="I96" s="751" t="e">
        <f ca="1">_xll.BDP($F96,I$92)</f>
        <v>#NAME?</v>
      </c>
      <c r="J96" s="751"/>
      <c r="K96" s="1202"/>
      <c r="L96" s="1119"/>
      <c r="M96" s="1119"/>
    </row>
    <row r="97" spans="2:13">
      <c r="B97" s="740" t="s">
        <v>335</v>
      </c>
      <c r="C97" s="751"/>
      <c r="D97" s="751" t="e">
        <f ca="1">_xll.BDP($D$92,$D$93)</f>
        <v>#NAME?</v>
      </c>
      <c r="E97" s="750"/>
      <c r="F97" s="751" t="e">
        <f t="shared" ca="1" si="0"/>
        <v>#NAME?</v>
      </c>
      <c r="G97" s="750"/>
      <c r="H97" s="751" t="e">
        <f ca="1">_xll.BDP($F97,H$92)</f>
        <v>#NAME?</v>
      </c>
      <c r="I97" s="751" t="e">
        <f ca="1">_xll.BDP($F97,I$92)</f>
        <v>#NAME?</v>
      </c>
      <c r="J97" s="751"/>
      <c r="K97" s="1202"/>
      <c r="L97" s="1119"/>
      <c r="M97" s="1119"/>
    </row>
    <row r="98" spans="2:13">
      <c r="B98" s="740" t="s">
        <v>336</v>
      </c>
      <c r="C98" s="751"/>
      <c r="D98" s="751" t="e">
        <f ca="1">_xll.BDP($D$92,$D$93)</f>
        <v>#NAME?</v>
      </c>
      <c r="E98" s="750"/>
      <c r="F98" s="751" t="e">
        <f t="shared" ca="1" si="0"/>
        <v>#NAME?</v>
      </c>
      <c r="G98" s="750"/>
      <c r="H98" s="751" t="e">
        <f ca="1">_xll.BDP($F98,H$92)</f>
        <v>#NAME?</v>
      </c>
      <c r="I98" s="751" t="e">
        <f ca="1">_xll.BDP($F98,I$92)</f>
        <v>#NAME?</v>
      </c>
      <c r="J98" s="751"/>
      <c r="K98" s="1202"/>
      <c r="L98" s="1119"/>
    </row>
    <row r="99" spans="2:13">
      <c r="B99" s="740" t="s">
        <v>337</v>
      </c>
      <c r="C99" s="751"/>
      <c r="D99" s="751" t="e">
        <f ca="1">_xll.BDP($D$92,$D$93)</f>
        <v>#NAME?</v>
      </c>
      <c r="E99" s="750"/>
      <c r="F99" s="751" t="e">
        <f t="shared" ca="1" si="0"/>
        <v>#NAME?</v>
      </c>
      <c r="G99" s="750"/>
      <c r="H99" s="751" t="e">
        <f ca="1">_xll.BDP($F99,H$92)</f>
        <v>#NAME?</v>
      </c>
      <c r="I99" s="751" t="e">
        <f ca="1">_xll.BDP($F99,I$92)</f>
        <v>#NAME?</v>
      </c>
      <c r="J99" s="751"/>
      <c r="K99" s="1202"/>
      <c r="L99" s="1119"/>
      <c r="M99" s="1119"/>
    </row>
    <row r="100" spans="2:13">
      <c r="B100" s="740" t="s">
        <v>338</v>
      </c>
      <c r="C100" s="751"/>
      <c r="D100" s="751" t="e">
        <f ca="1">_xll.BDP($D$92,$D$93)</f>
        <v>#NAME?</v>
      </c>
      <c r="E100" s="750"/>
      <c r="F100" s="751" t="e">
        <f t="shared" ca="1" si="0"/>
        <v>#NAME?</v>
      </c>
      <c r="G100" s="750"/>
      <c r="H100" s="751" t="e">
        <f ca="1">_xll.BDP($F100,H$92)</f>
        <v>#NAME?</v>
      </c>
      <c r="I100" s="751" t="e">
        <f ca="1">_xll.BDP($F100,I$92)</f>
        <v>#NAME?</v>
      </c>
      <c r="J100" s="751"/>
      <c r="K100" s="1202"/>
      <c r="L100" s="1119"/>
      <c r="M100" s="1119"/>
    </row>
    <row r="101" spans="2:13">
      <c r="B101" s="740" t="s">
        <v>339</v>
      </c>
      <c r="C101" s="751"/>
      <c r="D101" s="751" t="e">
        <f ca="1">_xll.BDP($D$92,$D$93)</f>
        <v>#NAME?</v>
      </c>
      <c r="E101" s="750"/>
      <c r="F101" s="751" t="e">
        <f t="shared" ca="1" si="0"/>
        <v>#NAME?</v>
      </c>
      <c r="G101" s="750"/>
      <c r="H101" s="751" t="e">
        <f ca="1">_xll.BDP($F101,H$92)</f>
        <v>#NAME?</v>
      </c>
      <c r="I101" s="751" t="e">
        <f ca="1">_xll.BDP($F101,I$92)</f>
        <v>#NAME?</v>
      </c>
      <c r="J101" s="751"/>
      <c r="K101" s="1202"/>
      <c r="L101" s="1119"/>
      <c r="M101" s="1119"/>
    </row>
    <row r="102" spans="2:13">
      <c r="B102" s="740" t="s">
        <v>340</v>
      </c>
      <c r="C102" s="751"/>
      <c r="D102" s="751" t="e">
        <f ca="1">_xll.BDP($D$92,$D$93)</f>
        <v>#NAME?</v>
      </c>
      <c r="E102" s="750"/>
      <c r="F102" s="751" t="e">
        <f t="shared" ca="1" si="0"/>
        <v>#NAME?</v>
      </c>
      <c r="G102" s="750"/>
      <c r="H102" s="751" t="e">
        <f ca="1">_xll.BDP($F102,H$92)</f>
        <v>#NAME?</v>
      </c>
      <c r="I102" s="751" t="e">
        <f ca="1">_xll.BDP($F102,I$92)</f>
        <v>#NAME?</v>
      </c>
      <c r="J102" s="751"/>
      <c r="K102" s="1202"/>
      <c r="L102" s="1119"/>
      <c r="M102" s="1119"/>
    </row>
    <row r="103" spans="2:13">
      <c r="B103" s="740" t="s">
        <v>341</v>
      </c>
      <c r="C103" s="751"/>
      <c r="D103" s="751" t="e">
        <f ca="1">_xll.BDP($D$92,$D$93)</f>
        <v>#NAME?</v>
      </c>
      <c r="E103" s="750"/>
      <c r="F103" s="751" t="e">
        <f t="shared" ca="1" si="0"/>
        <v>#NAME?</v>
      </c>
      <c r="G103" s="750"/>
      <c r="H103" s="751" t="e">
        <f ca="1">_xll.BDP($F103,H$92)</f>
        <v>#NAME?</v>
      </c>
      <c r="I103" s="751" t="e">
        <f ca="1">_xll.BDP($F103,I$92)</f>
        <v>#NAME?</v>
      </c>
      <c r="J103" s="751"/>
      <c r="K103" s="1202"/>
      <c r="L103" s="1119"/>
      <c r="M103" s="1119"/>
    </row>
    <row r="104" spans="2:13">
      <c r="B104" s="740" t="s">
        <v>342</v>
      </c>
      <c r="C104" s="751"/>
      <c r="D104" s="751" t="e">
        <f ca="1">_xll.BDP($D$92,$D$93)</f>
        <v>#NAME?</v>
      </c>
      <c r="E104" s="750"/>
      <c r="F104" s="751" t="e">
        <f t="shared" ca="1" si="0"/>
        <v>#NAME?</v>
      </c>
      <c r="G104" s="750"/>
      <c r="H104" s="751" t="e">
        <f ca="1">_xll.BDP($F104,H$92)</f>
        <v>#NAME?</v>
      </c>
      <c r="I104" s="751" t="e">
        <f ca="1">_xll.BDP($F104,I$92)</f>
        <v>#NAME?</v>
      </c>
      <c r="J104" s="751"/>
      <c r="K104" s="1202"/>
      <c r="L104" s="1119"/>
      <c r="M104" s="1119"/>
    </row>
    <row r="105" spans="2:13">
      <c r="B105" s="740" t="s">
        <v>343</v>
      </c>
      <c r="C105" s="751"/>
      <c r="D105" s="751" t="e">
        <f ca="1">_xll.BDP($D$92,$D$93)</f>
        <v>#NAME?</v>
      </c>
      <c r="E105" s="750"/>
      <c r="F105" s="751" t="e">
        <f t="shared" ca="1" si="0"/>
        <v>#NAME?</v>
      </c>
      <c r="G105" s="750"/>
      <c r="H105" s="751" t="e">
        <f ca="1">_xll.BDP($F105,H$92)</f>
        <v>#NAME?</v>
      </c>
      <c r="I105" s="751" t="e">
        <f ca="1">_xll.BDP($F105,I$92)</f>
        <v>#NAME?</v>
      </c>
      <c r="J105" s="751"/>
      <c r="K105" s="1202"/>
      <c r="L105" s="1119"/>
      <c r="M105" s="1119"/>
    </row>
    <row r="106" spans="2:13">
      <c r="B106" s="740" t="s">
        <v>344</v>
      </c>
      <c r="C106" s="751"/>
      <c r="D106" s="751" t="e">
        <f ca="1">_xll.BDP($D$92,$D$93)</f>
        <v>#NAME?</v>
      </c>
      <c r="E106" s="750"/>
      <c r="F106" s="751" t="e">
        <f t="shared" ca="1" si="0"/>
        <v>#NAME?</v>
      </c>
      <c r="G106" s="750"/>
      <c r="H106" s="751" t="e">
        <f ca="1">_xll.BDP($F106,H$92)</f>
        <v>#NAME?</v>
      </c>
      <c r="I106" s="751" t="e">
        <f ca="1">_xll.BDP($F106,I$92)</f>
        <v>#NAME?</v>
      </c>
      <c r="J106" s="751"/>
      <c r="K106" s="1202"/>
      <c r="L106" s="1119"/>
      <c r="M106" s="1119"/>
    </row>
    <row r="107" spans="2:13">
      <c r="B107" s="740" t="s">
        <v>345</v>
      </c>
      <c r="C107" s="751"/>
      <c r="D107" s="751" t="e">
        <f ca="1">_xll.BDP($D$92,$D$93)</f>
        <v>#NAME?</v>
      </c>
      <c r="E107" s="750"/>
      <c r="F107" s="751" t="e">
        <f t="shared" ca="1" si="0"/>
        <v>#NAME?</v>
      </c>
      <c r="G107" s="750"/>
      <c r="H107" s="751" t="e">
        <f ca="1">_xll.BDP($F107,H$92)</f>
        <v>#NAME?</v>
      </c>
      <c r="I107" s="751" t="e">
        <f ca="1">_xll.BDP($F107,I$92)</f>
        <v>#NAME?</v>
      </c>
      <c r="J107" s="751"/>
      <c r="K107" s="1202"/>
      <c r="L107" s="1119"/>
      <c r="M107" s="1119"/>
    </row>
    <row r="108" spans="2:13">
      <c r="B108" s="740" t="s">
        <v>346</v>
      </c>
      <c r="C108" s="751"/>
      <c r="D108" s="751" t="e">
        <f ca="1">_xll.BDP($D$92,$D$93)</f>
        <v>#NAME?</v>
      </c>
      <c r="E108" s="750"/>
      <c r="F108" s="751" t="e">
        <f t="shared" ca="1" si="0"/>
        <v>#NAME?</v>
      </c>
      <c r="G108" s="750"/>
      <c r="H108" s="751" t="e">
        <f ca="1">_xll.BDP($F108,H$92)</f>
        <v>#NAME?</v>
      </c>
      <c r="I108" s="751" t="e">
        <f ca="1">_xll.BDP($F108,I$92)</f>
        <v>#NAME?</v>
      </c>
      <c r="J108" s="751"/>
      <c r="K108" s="1202"/>
      <c r="L108" s="1119"/>
      <c r="M108" s="1119"/>
    </row>
    <row r="109" spans="2:13">
      <c r="B109" s="740" t="s">
        <v>347</v>
      </c>
      <c r="C109" s="751"/>
      <c r="D109" s="751" t="e">
        <f ca="1">_xll.BDP($D$92,$D$93)</f>
        <v>#NAME?</v>
      </c>
      <c r="E109" s="750"/>
      <c r="F109" s="751" t="e">
        <f t="shared" ca="1" si="0"/>
        <v>#NAME?</v>
      </c>
      <c r="G109" s="750"/>
      <c r="H109" s="751" t="e">
        <f ca="1">_xll.BDP($F109,H$92)</f>
        <v>#NAME?</v>
      </c>
      <c r="I109" s="751" t="e">
        <f ca="1">_xll.BDP($F109,I$92)</f>
        <v>#NAME?</v>
      </c>
      <c r="J109" s="751"/>
      <c r="K109" s="1202"/>
      <c r="L109" s="1119"/>
      <c r="M109" s="1119"/>
    </row>
    <row r="110" spans="2:13">
      <c r="B110" s="740" t="s">
        <v>348</v>
      </c>
      <c r="C110" s="751"/>
      <c r="D110" s="751" t="e">
        <f ca="1">_xll.BDP($D$92,$D$93)</f>
        <v>#NAME?</v>
      </c>
      <c r="E110" s="750"/>
      <c r="F110" s="751" t="e">
        <f t="shared" ca="1" si="0"/>
        <v>#NAME?</v>
      </c>
      <c r="G110" s="750"/>
      <c r="H110" s="751" t="e">
        <f ca="1">_xll.BDP($F110,H$92)</f>
        <v>#NAME?</v>
      </c>
      <c r="I110" s="751" t="e">
        <f ca="1">_xll.BDP($F110,I$92)</f>
        <v>#NAME?</v>
      </c>
      <c r="J110" s="751"/>
      <c r="K110" s="1202"/>
      <c r="L110" s="1119"/>
      <c r="M110" s="1119"/>
    </row>
    <row r="111" spans="2:13">
      <c r="B111" s="740" t="s">
        <v>349</v>
      </c>
      <c r="C111" s="751"/>
      <c r="D111" s="751" t="e">
        <f ca="1">_xll.BDP($D$92,$D$93)</f>
        <v>#NAME?</v>
      </c>
      <c r="E111" s="750"/>
      <c r="F111" s="751" t="e">
        <f t="shared" ca="1" si="0"/>
        <v>#NAME?</v>
      </c>
      <c r="G111" s="750"/>
      <c r="H111" s="751" t="e">
        <f ca="1">_xll.BDP($F111,H$92)</f>
        <v>#NAME?</v>
      </c>
      <c r="I111" s="751" t="e">
        <f ca="1">_xll.BDP($F111,I$92)</f>
        <v>#NAME?</v>
      </c>
      <c r="J111" s="751"/>
      <c r="K111" s="1202"/>
      <c r="L111" s="1119"/>
      <c r="M111" s="1119"/>
    </row>
    <row r="112" spans="2:13">
      <c r="B112" s="740" t="s">
        <v>350</v>
      </c>
      <c r="C112" s="751"/>
      <c r="D112" s="751" t="e">
        <f ca="1">_xll.BDP($D$92,$D$93)</f>
        <v>#NAME?</v>
      </c>
      <c r="E112" s="750"/>
      <c r="F112" s="751" t="e">
        <f t="shared" ca="1" si="0"/>
        <v>#NAME?</v>
      </c>
      <c r="G112" s="750"/>
      <c r="H112" s="751" t="e">
        <f ca="1">_xll.BDP($F112,H$92)</f>
        <v>#NAME?</v>
      </c>
      <c r="I112" s="751" t="e">
        <f ca="1">_xll.BDP($F112,I$92)</f>
        <v>#NAME?</v>
      </c>
      <c r="J112" s="751"/>
      <c r="K112" s="1202"/>
      <c r="L112" s="1119"/>
      <c r="M112" s="1119"/>
    </row>
    <row r="113" spans="2:19">
      <c r="B113" s="11"/>
      <c r="C113" s="9"/>
      <c r="D113" s="9"/>
      <c r="E113" s="9"/>
      <c r="F113" s="9"/>
      <c r="G113" s="9"/>
      <c r="H113" s="9"/>
      <c r="I113" s="9"/>
      <c r="J113" s="9"/>
      <c r="K113" s="1202"/>
      <c r="L113" s="1119"/>
      <c r="M113" s="1119"/>
    </row>
    <row r="114" spans="2:19" ht="23.25" customHeight="1"/>
    <row r="115" spans="2:19">
      <c r="B115" s="30" t="s">
        <v>351</v>
      </c>
      <c r="C115" s="6"/>
      <c r="D115" s="6"/>
      <c r="E115" s="6"/>
      <c r="F115" s="6"/>
      <c r="G115" s="6"/>
      <c r="H115" s="7"/>
      <c r="J115" s="30" t="s">
        <v>352</v>
      </c>
      <c r="K115" s="6"/>
      <c r="L115" s="6"/>
      <c r="M115" s="7"/>
    </row>
    <row r="116" spans="2:19">
      <c r="B116" s="740"/>
      <c r="C116" s="751"/>
      <c r="D116" s="751"/>
      <c r="E116" s="751"/>
      <c r="F116" s="751"/>
      <c r="G116" s="751"/>
      <c r="H116" s="8"/>
      <c r="J116" s="740"/>
      <c r="K116" s="750"/>
      <c r="L116" s="750"/>
      <c r="M116" s="8"/>
    </row>
    <row r="117" spans="2:19">
      <c r="B117" s="1324" t="s">
        <v>276</v>
      </c>
      <c r="C117" s="1544" t="e">
        <f ca="1">_xll.BDP(B117,"Security name")</f>
        <v>#NAME?</v>
      </c>
      <c r="D117" s="1543" t="s">
        <v>353</v>
      </c>
      <c r="E117" s="750"/>
      <c r="F117" s="1520" t="s">
        <v>898</v>
      </c>
      <c r="G117" s="1379" t="e">
        <f ca="1">TEXT(H117,"yyyymmdd")</f>
        <v>#NAME?</v>
      </c>
      <c r="H117" s="1553" t="e">
        <f ca="1">_xll.BToday()-60</f>
        <v>#NAME?</v>
      </c>
      <c r="J117" s="740"/>
      <c r="K117" s="750"/>
      <c r="L117" s="750"/>
      <c r="M117" s="8"/>
    </row>
    <row r="118" spans="2:19">
      <c r="B118" s="1324" t="s">
        <v>354</v>
      </c>
      <c r="C118" s="751"/>
      <c r="D118" s="751"/>
      <c r="E118" s="750"/>
      <c r="F118" s="1520" t="s">
        <v>355</v>
      </c>
      <c r="G118" s="1379" t="s">
        <v>356</v>
      </c>
      <c r="H118" s="8"/>
      <c r="J118" s="1323" t="s">
        <v>276</v>
      </c>
      <c r="K118" s="750"/>
      <c r="L118" s="750"/>
      <c r="M118" s="8"/>
    </row>
    <row r="119" spans="2:19">
      <c r="B119" s="740"/>
      <c r="C119" s="751"/>
      <c r="D119" s="751"/>
      <c r="E119" s="750"/>
      <c r="F119" s="1520" t="s">
        <v>357</v>
      </c>
      <c r="G119" s="1379">
        <v>11.5</v>
      </c>
      <c r="H119" s="8"/>
      <c r="J119" s="1556" t="e">
        <f ca="1">_xll.BDP(J118,"Security name")</f>
        <v>#NAME?</v>
      </c>
      <c r="K119" s="1550" t="s">
        <v>358</v>
      </c>
      <c r="L119" s="751"/>
      <c r="M119" s="8"/>
    </row>
    <row r="120" spans="2:19">
      <c r="B120" s="1549" t="s">
        <v>359</v>
      </c>
      <c r="C120" s="751"/>
      <c r="D120" s="751"/>
      <c r="E120" s="751"/>
      <c r="F120" s="751"/>
      <c r="G120" s="751"/>
      <c r="H120" s="8"/>
      <c r="J120" s="1544" t="e">
        <f ca="1">_xll.BDP(J118,"issue dt")</f>
        <v>#NAME?</v>
      </c>
      <c r="K120" s="1550" t="s">
        <v>360</v>
      </c>
      <c r="L120" s="751"/>
      <c r="M120" s="1555"/>
    </row>
    <row r="121" spans="2:19">
      <c r="B121" s="1554" t="e">
        <f ca="1">_xll.BDS(B117,B118,F117:F119,G117:G119)</f>
        <v>#NAME?</v>
      </c>
      <c r="C121" s="19"/>
      <c r="D121" s="751"/>
      <c r="E121" s="93"/>
      <c r="F121" s="93"/>
      <c r="G121" s="93"/>
      <c r="H121" s="8"/>
      <c r="J121" s="1557"/>
      <c r="K121" s="750"/>
      <c r="L121" s="751"/>
      <c r="M121" s="8"/>
    </row>
    <row r="122" spans="2:19">
      <c r="B122" s="45"/>
      <c r="C122" s="19"/>
      <c r="D122" s="751"/>
      <c r="E122" s="93"/>
      <c r="F122" s="93"/>
      <c r="G122" s="93"/>
      <c r="H122" s="8"/>
      <c r="J122" s="740" t="s">
        <v>361</v>
      </c>
      <c r="K122" s="1420">
        <v>42241</v>
      </c>
      <c r="L122" s="751"/>
      <c r="M122" s="8"/>
    </row>
    <row r="123" spans="2:19">
      <c r="B123" s="45"/>
      <c r="C123" s="19"/>
      <c r="D123" s="751"/>
      <c r="E123" s="93"/>
      <c r="F123" s="93"/>
      <c r="G123" s="93"/>
      <c r="H123" s="8"/>
      <c r="J123" s="740" t="s">
        <v>362</v>
      </c>
      <c r="K123" s="1420">
        <v>42291</v>
      </c>
      <c r="L123" s="751"/>
      <c r="M123" s="8"/>
      <c r="O123" s="1154"/>
      <c r="Q123" s="1154"/>
      <c r="R123" s="1154"/>
      <c r="S123" s="1154"/>
    </row>
    <row r="124" spans="2:19">
      <c r="B124" s="45"/>
      <c r="C124" s="19"/>
      <c r="D124" s="751"/>
      <c r="E124" s="93"/>
      <c r="F124" s="93"/>
      <c r="G124" s="93"/>
      <c r="H124" s="8"/>
      <c r="J124" s="1558" t="s">
        <v>363</v>
      </c>
      <c r="K124" s="1421" t="s">
        <v>783</v>
      </c>
      <c r="L124" s="751"/>
      <c r="M124" s="8"/>
      <c r="O124" s="1154"/>
      <c r="Q124" s="1154"/>
      <c r="R124" s="1154"/>
      <c r="S124" s="1154"/>
    </row>
    <row r="125" spans="2:19">
      <c r="B125" s="45"/>
      <c r="C125" s="19"/>
      <c r="D125" s="751"/>
      <c r="E125" s="93"/>
      <c r="F125" s="93"/>
      <c r="G125" s="93"/>
      <c r="H125" s="8"/>
      <c r="J125" s="740"/>
      <c r="K125" s="751"/>
      <c r="L125" s="751"/>
      <c r="M125" s="8"/>
    </row>
    <row r="126" spans="2:19">
      <c r="B126" s="45"/>
      <c r="C126" s="19"/>
      <c r="D126" s="751"/>
      <c r="E126" s="93"/>
      <c r="F126" s="93"/>
      <c r="G126" s="93"/>
      <c r="H126" s="8"/>
      <c r="J126" s="1549" t="s">
        <v>364</v>
      </c>
      <c r="K126" s="751"/>
      <c r="L126" s="751"/>
      <c r="M126" s="8"/>
    </row>
    <row r="127" spans="2:19">
      <c r="B127" s="45"/>
      <c r="C127" s="19"/>
      <c r="D127" s="751"/>
      <c r="E127" s="93"/>
      <c r="F127" s="93"/>
      <c r="G127" s="93"/>
      <c r="H127" s="8"/>
      <c r="J127" s="1559">
        <f>_xll.BDH(J118,K124,K122,K123,"cols=2;rows=35")</f>
        <v>42241</v>
      </c>
      <c r="K127" s="75">
        <v>96.67578125</v>
      </c>
      <c r="L127" s="751"/>
      <c r="M127" s="43"/>
    </row>
    <row r="128" spans="2:19">
      <c r="B128" s="45"/>
      <c r="C128" s="19"/>
      <c r="D128" s="751"/>
      <c r="E128" s="93"/>
      <c r="F128" s="93"/>
      <c r="G128" s="93"/>
      <c r="H128" s="8"/>
      <c r="J128" s="1560">
        <v>42242</v>
      </c>
      <c r="K128" s="75">
        <v>96.6640625</v>
      </c>
      <c r="L128" s="751"/>
      <c r="M128" s="43"/>
    </row>
    <row r="129" spans="2:13">
      <c r="B129" s="45"/>
      <c r="C129" s="19"/>
      <c r="D129" s="751"/>
      <c r="E129" s="93"/>
      <c r="F129" s="93"/>
      <c r="G129" s="93"/>
      <c r="H129" s="8"/>
      <c r="J129" s="1560">
        <v>42243</v>
      </c>
      <c r="K129" s="75">
        <v>96.66796875</v>
      </c>
      <c r="L129" s="751"/>
      <c r="M129" s="8"/>
    </row>
    <row r="130" spans="2:13">
      <c r="B130" s="45"/>
      <c r="C130" s="19"/>
      <c r="D130" s="751"/>
      <c r="E130" s="93"/>
      <c r="F130" s="93"/>
      <c r="G130" s="93"/>
      <c r="H130" s="8"/>
      <c r="J130" s="1560">
        <v>42244</v>
      </c>
      <c r="K130" s="75">
        <v>96.7109375</v>
      </c>
      <c r="L130" s="751"/>
      <c r="M130" s="8"/>
    </row>
    <row r="131" spans="2:13">
      <c r="B131" s="45"/>
      <c r="C131" s="19"/>
      <c r="D131" s="751"/>
      <c r="E131" s="93"/>
      <c r="F131" s="93"/>
      <c r="G131" s="93"/>
      <c r="H131" s="8"/>
      <c r="J131" s="1560">
        <v>42247</v>
      </c>
      <c r="K131" s="75">
        <v>96.5078125</v>
      </c>
      <c r="L131" s="751"/>
      <c r="M131" s="8"/>
    </row>
    <row r="132" spans="2:13">
      <c r="B132" s="45"/>
      <c r="C132" s="19"/>
      <c r="D132" s="751"/>
      <c r="E132" s="93"/>
      <c r="F132" s="93"/>
      <c r="G132" s="93"/>
      <c r="H132" s="8"/>
      <c r="J132" s="1560">
        <v>42248</v>
      </c>
      <c r="K132" s="75">
        <v>96.52734375</v>
      </c>
      <c r="L132" s="751"/>
      <c r="M132" s="8"/>
    </row>
    <row r="133" spans="2:13">
      <c r="B133" s="45"/>
      <c r="C133" s="19"/>
      <c r="D133" s="751"/>
      <c r="E133" s="93"/>
      <c r="F133" s="93"/>
      <c r="G133" s="93"/>
      <c r="H133" s="8"/>
      <c r="J133" s="1560">
        <v>42249</v>
      </c>
      <c r="K133" s="75">
        <v>96.57421875</v>
      </c>
      <c r="L133" s="751"/>
      <c r="M133" s="8"/>
    </row>
    <row r="134" spans="2:13">
      <c r="B134" s="45"/>
      <c r="C134" s="19"/>
      <c r="D134" s="751"/>
      <c r="E134" s="93"/>
      <c r="F134" s="93"/>
      <c r="G134" s="93"/>
      <c r="H134" s="8"/>
      <c r="J134" s="1560">
        <v>42250</v>
      </c>
      <c r="K134" s="75">
        <v>96.58984375</v>
      </c>
      <c r="L134" s="751"/>
      <c r="M134" s="8"/>
    </row>
    <row r="135" spans="2:13">
      <c r="B135" s="45"/>
      <c r="C135" s="19"/>
      <c r="D135" s="751"/>
      <c r="E135" s="93"/>
      <c r="F135" s="93"/>
      <c r="G135" s="93"/>
      <c r="H135" s="8"/>
      <c r="J135" s="1560">
        <v>42251</v>
      </c>
      <c r="K135" s="75">
        <v>96.60546875</v>
      </c>
      <c r="L135" s="751"/>
      <c r="M135" s="8"/>
    </row>
    <row r="136" spans="2:13">
      <c r="B136" s="45"/>
      <c r="C136" s="19"/>
      <c r="D136" s="751"/>
      <c r="E136" s="93"/>
      <c r="F136" s="93"/>
      <c r="G136" s="93"/>
      <c r="H136" s="8"/>
      <c r="J136" s="1560">
        <v>42255</v>
      </c>
      <c r="K136" s="75">
        <v>96.34375</v>
      </c>
      <c r="L136" s="751"/>
      <c r="M136" s="8"/>
    </row>
    <row r="137" spans="2:13">
      <c r="B137" s="45"/>
      <c r="C137" s="19"/>
      <c r="D137" s="751"/>
      <c r="E137" s="93"/>
      <c r="F137" s="93"/>
      <c r="G137" s="93"/>
      <c r="H137" s="8"/>
      <c r="J137" s="1560">
        <v>42256</v>
      </c>
      <c r="K137" s="75">
        <v>96.3046875</v>
      </c>
      <c r="L137" s="751"/>
      <c r="M137" s="8"/>
    </row>
    <row r="138" spans="2:13">
      <c r="B138" s="45"/>
      <c r="C138" s="19"/>
      <c r="D138" s="751"/>
      <c r="E138" s="93"/>
      <c r="F138" s="93"/>
      <c r="G138" s="93"/>
      <c r="H138" s="8"/>
      <c r="J138" s="1560">
        <v>42257</v>
      </c>
      <c r="K138" s="75">
        <v>96.32421875</v>
      </c>
      <c r="L138" s="751"/>
      <c r="M138" s="8"/>
    </row>
    <row r="139" spans="2:13">
      <c r="B139" s="45"/>
      <c r="C139" s="19"/>
      <c r="D139" s="751"/>
      <c r="E139" s="93"/>
      <c r="F139" s="93"/>
      <c r="G139" s="93"/>
      <c r="H139" s="8"/>
      <c r="J139" s="1560">
        <v>42258</v>
      </c>
      <c r="K139" s="75">
        <v>96.51953125</v>
      </c>
      <c r="L139" s="751"/>
      <c r="M139" s="8"/>
    </row>
    <row r="140" spans="2:13">
      <c r="B140" s="45"/>
      <c r="C140" s="19"/>
      <c r="D140" s="751"/>
      <c r="E140" s="93"/>
      <c r="F140" s="93"/>
      <c r="G140" s="93"/>
      <c r="H140" s="8"/>
      <c r="J140" s="1560">
        <v>42261</v>
      </c>
      <c r="K140" s="75">
        <v>96.546875</v>
      </c>
      <c r="L140" s="751"/>
      <c r="M140" s="8"/>
    </row>
    <row r="141" spans="2:13">
      <c r="B141" s="45"/>
      <c r="C141" s="19"/>
      <c r="D141" s="751"/>
      <c r="E141" s="93"/>
      <c r="F141" s="93"/>
      <c r="G141" s="93"/>
      <c r="H141" s="8"/>
      <c r="J141" s="1560">
        <v>42262</v>
      </c>
      <c r="K141" s="75">
        <v>96.5546875</v>
      </c>
      <c r="L141" s="751"/>
      <c r="M141" s="8"/>
    </row>
    <row r="142" spans="2:13">
      <c r="B142" s="45"/>
      <c r="C142" s="19"/>
      <c r="D142" s="751"/>
      <c r="E142" s="93"/>
      <c r="F142" s="93"/>
      <c r="G142" s="93"/>
      <c r="H142" s="8"/>
      <c r="J142" s="1560">
        <v>42263</v>
      </c>
      <c r="K142" s="75">
        <v>96.5546875</v>
      </c>
      <c r="L142" s="751"/>
      <c r="M142" s="8"/>
    </row>
    <row r="143" spans="2:13">
      <c r="B143" s="45"/>
      <c r="C143" s="19"/>
      <c r="D143" s="751"/>
      <c r="E143" s="751"/>
      <c r="F143" s="751"/>
      <c r="G143" s="751"/>
      <c r="H143" s="8"/>
      <c r="J143" s="1560">
        <v>42264</v>
      </c>
      <c r="K143" s="75">
        <v>96.56640625</v>
      </c>
      <c r="L143" s="751"/>
      <c r="M143" s="8"/>
    </row>
    <row r="144" spans="2:13">
      <c r="B144" s="45"/>
      <c r="C144" s="19"/>
      <c r="D144" s="751"/>
      <c r="E144" s="751"/>
      <c r="F144" s="751"/>
      <c r="G144" s="751"/>
      <c r="H144" s="8"/>
      <c r="J144" s="1560">
        <v>42265</v>
      </c>
      <c r="K144" s="75">
        <v>96.59765625</v>
      </c>
      <c r="L144" s="751"/>
      <c r="M144" s="8"/>
    </row>
    <row r="145" spans="2:13">
      <c r="B145" s="45"/>
      <c r="C145" s="19"/>
      <c r="D145" s="751"/>
      <c r="E145" s="751"/>
      <c r="F145" s="751"/>
      <c r="G145" s="751"/>
      <c r="H145" s="8"/>
      <c r="J145" s="1560">
        <v>42268</v>
      </c>
      <c r="K145" s="75">
        <v>96.55859375</v>
      </c>
      <c r="L145" s="751"/>
      <c r="M145" s="8"/>
    </row>
    <row r="146" spans="2:13">
      <c r="B146" s="45"/>
      <c r="C146" s="19"/>
      <c r="D146" s="751"/>
      <c r="E146" s="751"/>
      <c r="F146" s="751"/>
      <c r="G146" s="751"/>
      <c r="H146" s="8"/>
      <c r="J146" s="1560">
        <v>42269</v>
      </c>
      <c r="K146" s="75">
        <v>96.19140625</v>
      </c>
      <c r="L146" s="751"/>
      <c r="M146" s="8"/>
    </row>
    <row r="147" spans="2:13">
      <c r="B147" s="45"/>
      <c r="C147" s="19"/>
      <c r="D147" s="751"/>
      <c r="E147" s="751"/>
      <c r="F147" s="751"/>
      <c r="G147" s="751"/>
      <c r="H147" s="8"/>
      <c r="J147" s="1560">
        <v>42270</v>
      </c>
      <c r="K147" s="75">
        <v>96.15625</v>
      </c>
      <c r="L147" s="751"/>
      <c r="M147" s="8"/>
    </row>
    <row r="148" spans="2:13">
      <c r="B148" s="45"/>
      <c r="C148" s="19"/>
      <c r="D148" s="751"/>
      <c r="E148" s="751"/>
      <c r="F148" s="751"/>
      <c r="G148" s="751"/>
      <c r="H148" s="8"/>
      <c r="J148" s="1560">
        <v>42271</v>
      </c>
      <c r="K148" s="75">
        <v>96.18359375</v>
      </c>
      <c r="L148" s="751"/>
      <c r="M148" s="8"/>
    </row>
    <row r="149" spans="2:13">
      <c r="B149" s="45"/>
      <c r="C149" s="19"/>
      <c r="D149" s="751"/>
      <c r="E149" s="751"/>
      <c r="F149" s="751"/>
      <c r="G149" s="751"/>
      <c r="H149" s="8"/>
      <c r="J149" s="1560">
        <v>42272</v>
      </c>
      <c r="K149" s="75">
        <v>96.1953125</v>
      </c>
      <c r="L149" s="751"/>
      <c r="M149" s="8"/>
    </row>
    <row r="150" spans="2:13">
      <c r="B150" s="45"/>
      <c r="C150" s="19"/>
      <c r="D150" s="751"/>
      <c r="E150" s="751"/>
      <c r="F150" s="751"/>
      <c r="G150" s="751"/>
      <c r="H150" s="8"/>
      <c r="J150" s="1560">
        <v>42275</v>
      </c>
      <c r="K150" s="75">
        <v>96.01953125</v>
      </c>
      <c r="L150" s="751"/>
      <c r="M150" s="8"/>
    </row>
    <row r="151" spans="2:13">
      <c r="B151" s="45"/>
      <c r="C151" s="19"/>
      <c r="D151" s="751"/>
      <c r="E151" s="751"/>
      <c r="F151" s="751"/>
      <c r="G151" s="751"/>
      <c r="H151" s="8"/>
      <c r="J151" s="1560">
        <v>42276</v>
      </c>
      <c r="K151" s="75">
        <v>96.015625</v>
      </c>
      <c r="L151" s="751"/>
      <c r="M151" s="8"/>
    </row>
    <row r="152" spans="2:13">
      <c r="B152" s="45"/>
      <c r="C152" s="19"/>
      <c r="D152" s="751"/>
      <c r="E152" s="751"/>
      <c r="F152" s="751"/>
      <c r="G152" s="751"/>
      <c r="H152" s="8"/>
      <c r="J152" s="1560">
        <v>42277</v>
      </c>
      <c r="K152" s="75">
        <v>96.0625</v>
      </c>
      <c r="L152" s="751"/>
      <c r="M152" s="8"/>
    </row>
    <row r="153" spans="2:13">
      <c r="B153" s="45"/>
      <c r="C153" s="19"/>
      <c r="D153" s="751"/>
      <c r="E153" s="751"/>
      <c r="F153" s="751"/>
      <c r="G153" s="751"/>
      <c r="H153" s="8"/>
      <c r="J153" s="1560">
        <v>42278</v>
      </c>
      <c r="K153" s="75">
        <v>96.05859375</v>
      </c>
      <c r="L153" s="751"/>
      <c r="M153" s="8"/>
    </row>
    <row r="154" spans="2:13">
      <c r="B154" s="45"/>
      <c r="C154" s="19"/>
      <c r="D154" s="751"/>
      <c r="E154" s="751"/>
      <c r="F154" s="751"/>
      <c r="G154" s="751"/>
      <c r="H154" s="8"/>
      <c r="J154" s="1560">
        <v>42279</v>
      </c>
      <c r="K154" s="75">
        <v>96.1328125</v>
      </c>
      <c r="L154" s="751"/>
      <c r="M154" s="8"/>
    </row>
    <row r="155" spans="2:13">
      <c r="B155" s="45"/>
      <c r="C155" s="19"/>
      <c r="D155" s="751"/>
      <c r="E155" s="751"/>
      <c r="F155" s="751"/>
      <c r="G155" s="751"/>
      <c r="H155" s="8"/>
      <c r="J155" s="1560">
        <v>42282</v>
      </c>
      <c r="K155" s="75">
        <v>96.20703125</v>
      </c>
      <c r="L155" s="751"/>
      <c r="M155" s="8"/>
    </row>
    <row r="156" spans="2:13">
      <c r="B156" s="45"/>
      <c r="C156" s="19"/>
      <c r="D156" s="751"/>
      <c r="E156" s="751"/>
      <c r="F156" s="751"/>
      <c r="G156" s="751"/>
      <c r="H156" s="8"/>
      <c r="J156" s="1560">
        <v>42283</v>
      </c>
      <c r="K156" s="75">
        <v>96.23828125</v>
      </c>
      <c r="L156" s="751"/>
      <c r="M156" s="8"/>
    </row>
    <row r="157" spans="2:13">
      <c r="B157" s="45"/>
      <c r="C157" s="19"/>
      <c r="D157" s="751"/>
      <c r="E157" s="751"/>
      <c r="F157" s="751"/>
      <c r="G157" s="751"/>
      <c r="H157" s="8"/>
      <c r="J157" s="1560">
        <v>42284</v>
      </c>
      <c r="K157" s="75">
        <v>96.26171875</v>
      </c>
      <c r="L157" s="751"/>
      <c r="M157" s="8"/>
    </row>
    <row r="158" spans="2:13">
      <c r="B158" s="45"/>
      <c r="C158" s="19"/>
      <c r="D158" s="751"/>
      <c r="E158" s="751"/>
      <c r="F158" s="751"/>
      <c r="G158" s="751"/>
      <c r="H158" s="8"/>
      <c r="J158" s="1560">
        <v>42285</v>
      </c>
      <c r="K158" s="75">
        <v>96.2734375</v>
      </c>
      <c r="L158" s="751"/>
      <c r="M158" s="8"/>
    </row>
    <row r="159" spans="2:13">
      <c r="B159" s="45"/>
      <c r="C159" s="19"/>
      <c r="D159" s="751"/>
      <c r="E159" s="751"/>
      <c r="F159" s="751"/>
      <c r="G159" s="751"/>
      <c r="H159" s="8"/>
      <c r="J159" s="1560">
        <v>42286</v>
      </c>
      <c r="K159" s="75">
        <v>96.25</v>
      </c>
      <c r="L159" s="751"/>
      <c r="M159" s="8"/>
    </row>
    <row r="160" spans="2:13">
      <c r="B160" s="45"/>
      <c r="C160" s="19"/>
      <c r="D160" s="751"/>
      <c r="E160" s="751"/>
      <c r="F160" s="751"/>
      <c r="G160" s="751"/>
      <c r="H160" s="8"/>
      <c r="J160" s="1560">
        <v>42290</v>
      </c>
      <c r="K160" s="75">
        <v>96.19140625</v>
      </c>
      <c r="L160" s="751"/>
      <c r="M160" s="8"/>
    </row>
    <row r="161" spans="2:13">
      <c r="B161" s="45"/>
      <c r="C161" s="19"/>
      <c r="D161" s="751"/>
      <c r="E161" s="751"/>
      <c r="F161" s="751"/>
      <c r="G161" s="751"/>
      <c r="H161" s="8"/>
      <c r="J161" s="1560">
        <v>42291</v>
      </c>
      <c r="K161" s="1561">
        <v>96.16015625</v>
      </c>
      <c r="L161" s="751"/>
      <c r="M161" s="8"/>
    </row>
    <row r="162" spans="2:13">
      <c r="B162" s="45"/>
      <c r="C162" s="19"/>
      <c r="D162" s="751"/>
      <c r="E162" s="751"/>
      <c r="F162" s="751"/>
      <c r="G162" s="751"/>
      <c r="H162" s="8"/>
      <c r="J162" s="1560"/>
      <c r="K162" s="75"/>
      <c r="L162" s="751"/>
      <c r="M162" s="8"/>
    </row>
    <row r="163" spans="2:13">
      <c r="B163" s="45"/>
      <c r="C163" s="19"/>
      <c r="D163" s="751"/>
      <c r="E163" s="751"/>
      <c r="F163" s="751"/>
      <c r="G163" s="751"/>
      <c r="H163" s="8"/>
      <c r="J163" s="1560"/>
      <c r="K163" s="75"/>
      <c r="L163" s="751"/>
      <c r="M163" s="8"/>
    </row>
    <row r="164" spans="2:13">
      <c r="B164" s="45"/>
      <c r="C164" s="19"/>
      <c r="D164" s="751"/>
      <c r="E164" s="751"/>
      <c r="F164" s="751"/>
      <c r="G164" s="751"/>
      <c r="H164" s="8"/>
      <c r="J164" s="1560"/>
      <c r="K164" s="75"/>
      <c r="L164" s="751"/>
      <c r="M164" s="8"/>
    </row>
    <row r="165" spans="2:13">
      <c r="B165" s="45"/>
      <c r="C165" s="19"/>
      <c r="D165" s="751"/>
      <c r="E165" s="751"/>
      <c r="F165" s="751"/>
      <c r="G165" s="751"/>
      <c r="H165" s="8"/>
      <c r="J165" s="1560"/>
      <c r="K165" s="75"/>
      <c r="L165" s="751"/>
      <c r="M165" s="8"/>
    </row>
    <row r="166" spans="2:13">
      <c r="B166" s="45"/>
      <c r="C166" s="19"/>
      <c r="D166" s="751"/>
      <c r="E166" s="751"/>
      <c r="F166" s="751"/>
      <c r="G166" s="751"/>
      <c r="H166" s="8"/>
      <c r="J166" s="1560"/>
      <c r="K166" s="75"/>
      <c r="L166" s="751"/>
      <c r="M166" s="8"/>
    </row>
    <row r="167" spans="2:13">
      <c r="B167" s="45"/>
      <c r="C167" s="19"/>
      <c r="D167" s="751"/>
      <c r="E167" s="751"/>
      <c r="F167" s="751"/>
      <c r="G167" s="751"/>
      <c r="H167" s="8"/>
      <c r="J167" s="1560"/>
      <c r="K167" s="75"/>
      <c r="L167" s="751"/>
      <c r="M167" s="8"/>
    </row>
    <row r="168" spans="2:13">
      <c r="B168" s="45"/>
      <c r="C168" s="19"/>
      <c r="D168" s="751"/>
      <c r="E168" s="751"/>
      <c r="F168" s="751"/>
      <c r="G168" s="751"/>
      <c r="H168" s="8"/>
      <c r="J168" s="1560"/>
      <c r="K168" s="75"/>
      <c r="L168" s="751"/>
      <c r="M168" s="8"/>
    </row>
    <row r="169" spans="2:13">
      <c r="B169" s="45"/>
      <c r="C169" s="19"/>
      <c r="D169" s="751"/>
      <c r="E169" s="751"/>
      <c r="F169" s="751"/>
      <c r="G169" s="751"/>
      <c r="H169" s="8"/>
      <c r="J169" s="1560"/>
      <c r="K169" s="75"/>
      <c r="L169" s="751"/>
      <c r="M169" s="8"/>
    </row>
    <row r="170" spans="2:13">
      <c r="B170" s="45"/>
      <c r="C170" s="19"/>
      <c r="D170" s="751"/>
      <c r="E170" s="751"/>
      <c r="F170" s="751"/>
      <c r="G170" s="751"/>
      <c r="H170" s="8"/>
      <c r="J170" s="1560"/>
      <c r="K170" s="75"/>
      <c r="L170" s="751"/>
      <c r="M170" s="8"/>
    </row>
    <row r="171" spans="2:13">
      <c r="B171" s="45"/>
      <c r="C171" s="19"/>
      <c r="D171" s="751"/>
      <c r="E171" s="751"/>
      <c r="F171" s="751"/>
      <c r="G171" s="751"/>
      <c r="H171" s="8"/>
      <c r="J171" s="1560"/>
      <c r="K171" s="75"/>
      <c r="L171" s="751"/>
      <c r="M171" s="8"/>
    </row>
    <row r="172" spans="2:13">
      <c r="B172" s="45"/>
      <c r="C172" s="19"/>
      <c r="D172" s="751"/>
      <c r="E172" s="751"/>
      <c r="F172" s="751"/>
      <c r="G172" s="751"/>
      <c r="H172" s="8"/>
      <c r="J172" s="1560"/>
      <c r="K172" s="75"/>
      <c r="L172" s="751"/>
      <c r="M172" s="8"/>
    </row>
    <row r="173" spans="2:13">
      <c r="B173" s="45"/>
      <c r="C173" s="19"/>
      <c r="D173" s="751"/>
      <c r="E173" s="751"/>
      <c r="F173" s="751"/>
      <c r="G173" s="751"/>
      <c r="H173" s="8"/>
      <c r="J173" s="1560"/>
      <c r="K173" s="75"/>
      <c r="L173" s="751"/>
      <c r="M173" s="8"/>
    </row>
    <row r="174" spans="2:13">
      <c r="B174" s="45"/>
      <c r="C174" s="19"/>
      <c r="D174" s="751"/>
      <c r="E174" s="751"/>
      <c r="F174" s="751"/>
      <c r="G174" s="751"/>
      <c r="H174" s="8"/>
      <c r="J174" s="1560"/>
      <c r="K174" s="75"/>
      <c r="L174" s="751"/>
      <c r="M174" s="8"/>
    </row>
    <row r="175" spans="2:13">
      <c r="B175" s="45"/>
      <c r="C175" s="19"/>
      <c r="D175" s="751"/>
      <c r="E175" s="751"/>
      <c r="F175" s="751"/>
      <c r="G175" s="751"/>
      <c r="H175" s="8"/>
      <c r="J175" s="1560"/>
      <c r="K175" s="75"/>
      <c r="L175" s="751"/>
      <c r="M175" s="8"/>
    </row>
    <row r="176" spans="2:13">
      <c r="B176" s="45"/>
      <c r="C176" s="751"/>
      <c r="D176" s="751"/>
      <c r="E176" s="751"/>
      <c r="F176" s="751"/>
      <c r="G176" s="751"/>
      <c r="H176" s="8"/>
      <c r="J176" s="1560"/>
      <c r="K176" s="75"/>
      <c r="L176" s="751"/>
      <c r="M176" s="8"/>
    </row>
    <row r="177" spans="2:14">
      <c r="B177" s="45"/>
      <c r="C177" s="751"/>
      <c r="D177" s="751"/>
      <c r="E177" s="751"/>
      <c r="F177" s="751"/>
      <c r="G177" s="751"/>
      <c r="H177" s="8"/>
      <c r="J177" s="1560"/>
      <c r="K177" s="75"/>
      <c r="L177" s="751"/>
      <c r="M177" s="8"/>
    </row>
    <row r="178" spans="2:14">
      <c r="B178" s="703"/>
      <c r="C178" s="9"/>
      <c r="D178" s="9"/>
      <c r="E178" s="9"/>
      <c r="F178" s="9"/>
      <c r="G178" s="9"/>
      <c r="H178" s="10"/>
      <c r="J178" s="1560"/>
      <c r="K178" s="75"/>
      <c r="L178" s="751"/>
      <c r="M178" s="10"/>
    </row>
    <row r="179" spans="2:14">
      <c r="J179" s="1416"/>
      <c r="K179" s="1417"/>
      <c r="L179" s="1200"/>
      <c r="M179" s="1200"/>
      <c r="N179" s="1119"/>
    </row>
    <row r="180" spans="2:14">
      <c r="B180" s="1418"/>
      <c r="G180" s="1154"/>
      <c r="J180" s="1414"/>
      <c r="K180" s="1415"/>
      <c r="L180" s="1119"/>
      <c r="M180" s="1119"/>
      <c r="N180" s="1119"/>
    </row>
    <row r="181" spans="2:14">
      <c r="G181" s="1154"/>
      <c r="J181" s="1414"/>
      <c r="K181" s="1415"/>
      <c r="L181" s="1119"/>
      <c r="M181" s="1119"/>
      <c r="N181" s="1119"/>
    </row>
    <row r="182" spans="2:14">
      <c r="J182" s="1414"/>
      <c r="K182" s="1415"/>
      <c r="L182" s="1119"/>
      <c r="M182" s="1119"/>
      <c r="N182" s="1119"/>
    </row>
    <row r="183" spans="2:14">
      <c r="J183" s="1414"/>
      <c r="K183" s="1415"/>
      <c r="L183" s="1119"/>
      <c r="M183" s="1119"/>
      <c r="N183" s="1119"/>
    </row>
    <row r="184" spans="2:14">
      <c r="J184" s="1414"/>
      <c r="K184" s="1119"/>
      <c r="L184" s="1119"/>
      <c r="M184" s="1119"/>
      <c r="N184" s="1119"/>
    </row>
    <row r="185" spans="2:14">
      <c r="J185" s="1414"/>
      <c r="K185" s="1119"/>
      <c r="L185" s="1119"/>
      <c r="M185" s="1119"/>
      <c r="N185" s="1119"/>
    </row>
    <row r="186" spans="2:14">
      <c r="J186" s="1414"/>
      <c r="K186" s="1119"/>
      <c r="L186" s="1119"/>
      <c r="M186" s="1119"/>
      <c r="N186" s="1119"/>
    </row>
    <row r="187" spans="2:14">
      <c r="J187" s="1414"/>
      <c r="K187" s="1119"/>
      <c r="L187" s="1119"/>
      <c r="M187" s="1119"/>
      <c r="N187" s="1119"/>
    </row>
    <row r="188" spans="2:14">
      <c r="J188" s="1414"/>
      <c r="K188" s="1119"/>
      <c r="L188" s="1119"/>
      <c r="M188" s="1119"/>
      <c r="N188" s="1119"/>
    </row>
    <row r="189" spans="2:14">
      <c r="J189" s="1414"/>
      <c r="K189" s="1119"/>
      <c r="L189" s="1119"/>
      <c r="M189" s="1119"/>
      <c r="N189" s="1119"/>
    </row>
    <row r="190" spans="2:14">
      <c r="J190" s="1419"/>
    </row>
    <row r="191" spans="2:14">
      <c r="J191" s="1419"/>
    </row>
    <row r="192" spans="2:14">
      <c r="J192" s="1419"/>
    </row>
    <row r="193" spans="2:10">
      <c r="J193" s="1419"/>
    </row>
    <row r="194" spans="2:10">
      <c r="J194" s="1419"/>
    </row>
    <row r="195" spans="2:10">
      <c r="J195" s="1419"/>
    </row>
    <row r="196" spans="2:10">
      <c r="J196" s="1419"/>
    </row>
    <row r="197" spans="2:10">
      <c r="J197" s="1419"/>
    </row>
    <row r="198" spans="2:10">
      <c r="J198" s="1419"/>
    </row>
    <row r="199" spans="2:10">
      <c r="J199" s="1419"/>
    </row>
    <row r="200" spans="2:10">
      <c r="J200" s="1419"/>
    </row>
    <row r="201" spans="2:10">
      <c r="J201" s="1419"/>
    </row>
    <row r="202" spans="2:10">
      <c r="J202" s="1419"/>
    </row>
    <row r="203" spans="2:10">
      <c r="J203" s="1419"/>
    </row>
    <row r="204" spans="2:10">
      <c r="J204" s="1419"/>
    </row>
    <row r="205" spans="2:10">
      <c r="J205" s="1419"/>
    </row>
    <row r="206" spans="2:10">
      <c r="B206" s="1155"/>
      <c r="J206" s="1419"/>
    </row>
    <row r="207" spans="2:10">
      <c r="J207" s="1419"/>
    </row>
    <row r="208" spans="2:10">
      <c r="J208" s="1419"/>
    </row>
    <row r="209" spans="10:10">
      <c r="J209" s="1419"/>
    </row>
    <row r="210" spans="10:10">
      <c r="J210" s="1419"/>
    </row>
    <row r="211" spans="10:10">
      <c r="J211" s="1419"/>
    </row>
    <row r="212" spans="10:10">
      <c r="J212" s="1419"/>
    </row>
    <row r="213" spans="10:10">
      <c r="J213" s="1419"/>
    </row>
    <row r="214" spans="10:10">
      <c r="J214" s="1419"/>
    </row>
    <row r="215" spans="10:10">
      <c r="J215" s="1419"/>
    </row>
    <row r="216" spans="10:10">
      <c r="J216" s="1419"/>
    </row>
    <row r="217" spans="10:10">
      <c r="J217" s="1419"/>
    </row>
    <row r="218" spans="10:10">
      <c r="J218" s="1419"/>
    </row>
    <row r="219" spans="10:10">
      <c r="J219" s="1419"/>
    </row>
    <row r="220" spans="10:10">
      <c r="J220" s="1419"/>
    </row>
    <row r="221" spans="10:10">
      <c r="J221" s="1419"/>
    </row>
    <row r="222" spans="10:10">
      <c r="J222" s="1419"/>
    </row>
    <row r="223" spans="10:10">
      <c r="J223" s="1419"/>
    </row>
    <row r="224" spans="10:10">
      <c r="J224" s="1419"/>
    </row>
    <row r="225" spans="10:10">
      <c r="J225" s="1419"/>
    </row>
    <row r="226" spans="10:10">
      <c r="J226" s="1419"/>
    </row>
    <row r="227" spans="10:10">
      <c r="J227" s="1419"/>
    </row>
    <row r="228" spans="10:10">
      <c r="J228" s="1419"/>
    </row>
    <row r="229" spans="10:10">
      <c r="J229" s="1419"/>
    </row>
    <row r="230" spans="10:10">
      <c r="J230" s="1419"/>
    </row>
    <row r="231" spans="10:10">
      <c r="J231" s="1419"/>
    </row>
    <row r="232" spans="10:10">
      <c r="J232" s="1419"/>
    </row>
    <row r="233" spans="10:10">
      <c r="J233" s="1419"/>
    </row>
    <row r="234" spans="10:10">
      <c r="J234" s="1419"/>
    </row>
    <row r="235" spans="10:10">
      <c r="J235" s="1419"/>
    </row>
    <row r="236" spans="10:10">
      <c r="J236" s="1419"/>
    </row>
    <row r="237" spans="10:10">
      <c r="J237" s="1419"/>
    </row>
    <row r="238" spans="10:10">
      <c r="J238" s="1419"/>
    </row>
    <row r="239" spans="10:10">
      <c r="J239" s="1419"/>
    </row>
    <row r="240" spans="10:10">
      <c r="J240" s="1419"/>
    </row>
    <row r="241" spans="10:10">
      <c r="J241" s="1419"/>
    </row>
    <row r="242" spans="10:10">
      <c r="J242" s="1419"/>
    </row>
    <row r="243" spans="10:10">
      <c r="J243" s="1419"/>
    </row>
    <row r="244" spans="10:10">
      <c r="J244" s="1419"/>
    </row>
    <row r="245" spans="10:10">
      <c r="J245" s="1419"/>
    </row>
    <row r="246" spans="10:10">
      <c r="J246" s="1419"/>
    </row>
    <row r="247" spans="10:10">
      <c r="J247" s="1419"/>
    </row>
    <row r="248" spans="10:10">
      <c r="J248" s="1419"/>
    </row>
    <row r="249" spans="10:10">
      <c r="J249" s="1419"/>
    </row>
    <row r="250" spans="10:10">
      <c r="J250" s="1419"/>
    </row>
    <row r="251" spans="10:10">
      <c r="J251" s="1419"/>
    </row>
    <row r="252" spans="10:10">
      <c r="J252" s="1419"/>
    </row>
    <row r="253" spans="10:10">
      <c r="J253" s="1419"/>
    </row>
    <row r="254" spans="10:10">
      <c r="J254" s="1419"/>
    </row>
    <row r="255" spans="10:10">
      <c r="J255" s="1419"/>
    </row>
    <row r="256" spans="10:10">
      <c r="J256" s="1419"/>
    </row>
    <row r="257" spans="10:10">
      <c r="J257" s="1419"/>
    </row>
    <row r="258" spans="10:10">
      <c r="J258" s="1419"/>
    </row>
    <row r="259" spans="10:10">
      <c r="J259" s="1419"/>
    </row>
    <row r="260" spans="10:10">
      <c r="J260" s="1419"/>
    </row>
    <row r="261" spans="10:10">
      <c r="J261" s="1419"/>
    </row>
    <row r="262" spans="10:10">
      <c r="J262" s="1419"/>
    </row>
    <row r="263" spans="10:10">
      <c r="J263" s="1419"/>
    </row>
    <row r="264" spans="10:10">
      <c r="J264" s="1419"/>
    </row>
    <row r="265" spans="10:10">
      <c r="J265" s="1419"/>
    </row>
    <row r="266" spans="10:10">
      <c r="J266" s="1419"/>
    </row>
    <row r="267" spans="10:10">
      <c r="J267" s="1419"/>
    </row>
    <row r="268" spans="10:10">
      <c r="J268" s="1419"/>
    </row>
    <row r="269" spans="10:10">
      <c r="J269" s="1419"/>
    </row>
    <row r="270" spans="10:10">
      <c r="J270" s="1419"/>
    </row>
    <row r="271" spans="10:10">
      <c r="J271" s="1419"/>
    </row>
    <row r="272" spans="10:10">
      <c r="J272" s="1419"/>
    </row>
    <row r="273" spans="10:10">
      <c r="J273" s="1419"/>
    </row>
    <row r="274" spans="10:10">
      <c r="J274" s="1419"/>
    </row>
    <row r="275" spans="10:10">
      <c r="J275" s="1419"/>
    </row>
    <row r="276" spans="10:10">
      <c r="J276" s="1419"/>
    </row>
    <row r="277" spans="10:10">
      <c r="J277" s="1419"/>
    </row>
    <row r="278" spans="10:10">
      <c r="J278" s="1419"/>
    </row>
    <row r="279" spans="10:10">
      <c r="J279" s="1419"/>
    </row>
    <row r="280" spans="10:10">
      <c r="J280" s="1419"/>
    </row>
    <row r="281" spans="10:10">
      <c r="J281" s="1419"/>
    </row>
    <row r="282" spans="10:10">
      <c r="J282" s="1419"/>
    </row>
    <row r="283" spans="10:10">
      <c r="J283" s="1419"/>
    </row>
    <row r="284" spans="10:10">
      <c r="J284" s="1419"/>
    </row>
    <row r="285" spans="10:10">
      <c r="J285" s="1419"/>
    </row>
    <row r="286" spans="10:10">
      <c r="J286" s="1419"/>
    </row>
    <row r="287" spans="10:10">
      <c r="J287" s="1419"/>
    </row>
    <row r="288" spans="10:10">
      <c r="J288" s="1419"/>
    </row>
    <row r="289" spans="10:10">
      <c r="J289" s="1419"/>
    </row>
    <row r="290" spans="10:10">
      <c r="J290" s="1419"/>
    </row>
    <row r="291" spans="10:10">
      <c r="J291" s="1419"/>
    </row>
    <row r="292" spans="10:10">
      <c r="J292" s="1419"/>
    </row>
    <row r="293" spans="10:10">
      <c r="J293" s="1419"/>
    </row>
    <row r="294" spans="10:10">
      <c r="J294" s="1419"/>
    </row>
    <row r="295" spans="10:10">
      <c r="J295" s="1419"/>
    </row>
    <row r="296" spans="10:10">
      <c r="J296" s="1419"/>
    </row>
    <row r="297" spans="10:10">
      <c r="J297" s="1419"/>
    </row>
    <row r="298" spans="10:10">
      <c r="J298" s="1419"/>
    </row>
    <row r="299" spans="10:10">
      <c r="J299" s="1419"/>
    </row>
    <row r="300" spans="10:10">
      <c r="J300" s="1419"/>
    </row>
    <row r="301" spans="10:10">
      <c r="J301" s="1419"/>
    </row>
    <row r="302" spans="10:10">
      <c r="J302" s="1419"/>
    </row>
    <row r="303" spans="10:10">
      <c r="J303" s="1419"/>
    </row>
    <row r="304" spans="10:10">
      <c r="J304" s="1419"/>
    </row>
    <row r="305" spans="10:10">
      <c r="J305" s="1419"/>
    </row>
    <row r="306" spans="10:10">
      <c r="J306" s="1419"/>
    </row>
    <row r="307" spans="10:10">
      <c r="J307" s="1419"/>
    </row>
    <row r="308" spans="10:10">
      <c r="J308" s="1419"/>
    </row>
    <row r="309" spans="10:10">
      <c r="J309" s="1419"/>
    </row>
    <row r="310" spans="10:10">
      <c r="J310" s="1419"/>
    </row>
    <row r="311" spans="10:10">
      <c r="J311" s="1419"/>
    </row>
    <row r="312" spans="10:10">
      <c r="J312" s="1419"/>
    </row>
    <row r="313" spans="10:10">
      <c r="J313" s="1419"/>
    </row>
    <row r="314" spans="10:10">
      <c r="J314" s="1419"/>
    </row>
    <row r="315" spans="10:10">
      <c r="J315" s="1419"/>
    </row>
    <row r="316" spans="10:10">
      <c r="J316" s="1419"/>
    </row>
    <row r="317" spans="10:10">
      <c r="J317" s="1419"/>
    </row>
    <row r="318" spans="10:10">
      <c r="J318" s="1419"/>
    </row>
    <row r="319" spans="10:10">
      <c r="J319" s="1419"/>
    </row>
    <row r="320" spans="10:10">
      <c r="J320" s="1419"/>
    </row>
    <row r="321" spans="10:10">
      <c r="J321" s="1419"/>
    </row>
    <row r="322" spans="10:10">
      <c r="J322" s="1419"/>
    </row>
    <row r="323" spans="10:10">
      <c r="J323" s="1419"/>
    </row>
    <row r="324" spans="10:10">
      <c r="J324" s="1419"/>
    </row>
    <row r="325" spans="10:10">
      <c r="J325" s="1419"/>
    </row>
    <row r="326" spans="10:10">
      <c r="J326" s="1419"/>
    </row>
    <row r="327" spans="10:10">
      <c r="J327" s="1419"/>
    </row>
    <row r="328" spans="10:10">
      <c r="J328" s="1419"/>
    </row>
    <row r="329" spans="10:10">
      <c r="J329" s="1419"/>
    </row>
    <row r="330" spans="10:10">
      <c r="J330" s="1419"/>
    </row>
    <row r="331" spans="10:10">
      <c r="J331" s="1419"/>
    </row>
    <row r="332" spans="10:10">
      <c r="J332" s="1419"/>
    </row>
    <row r="333" spans="10:10">
      <c r="J333" s="1419"/>
    </row>
    <row r="334" spans="10:10">
      <c r="J334" s="1419"/>
    </row>
    <row r="335" spans="10:10">
      <c r="J335" s="1419"/>
    </row>
    <row r="336" spans="10:10">
      <c r="J336" s="1419"/>
    </row>
    <row r="337" spans="10:10">
      <c r="J337" s="1419"/>
    </row>
    <row r="338" spans="10:10">
      <c r="J338" s="1419"/>
    </row>
    <row r="339" spans="10:10">
      <c r="J339" s="1419"/>
    </row>
    <row r="340" spans="10:10">
      <c r="J340" s="1419"/>
    </row>
    <row r="341" spans="10:10">
      <c r="J341" s="1419"/>
    </row>
    <row r="342" spans="10:10">
      <c r="J342" s="1419"/>
    </row>
    <row r="343" spans="10:10">
      <c r="J343" s="1419"/>
    </row>
    <row r="344" spans="10:10">
      <c r="J344" s="1419"/>
    </row>
    <row r="345" spans="10:10">
      <c r="J345" s="1419"/>
    </row>
    <row r="346" spans="10:10">
      <c r="J346" s="1419"/>
    </row>
    <row r="347" spans="10:10">
      <c r="J347" s="1419"/>
    </row>
    <row r="348" spans="10:10">
      <c r="J348" s="1419"/>
    </row>
    <row r="349" spans="10:10">
      <c r="J349" s="1419"/>
    </row>
    <row r="350" spans="10:10">
      <c r="J350" s="1419"/>
    </row>
    <row r="351" spans="10:10">
      <c r="J351" s="1419"/>
    </row>
    <row r="352" spans="10:10">
      <c r="J352" s="1419"/>
    </row>
    <row r="353" spans="10:10">
      <c r="J353" s="1419"/>
    </row>
    <row r="354" spans="10:10">
      <c r="J354" s="1419"/>
    </row>
    <row r="355" spans="10:10">
      <c r="J355" s="1419"/>
    </row>
    <row r="356" spans="10:10">
      <c r="J356" s="1419"/>
    </row>
    <row r="357" spans="10:10">
      <c r="J357" s="1419"/>
    </row>
    <row r="358" spans="10:10">
      <c r="J358" s="1419"/>
    </row>
    <row r="359" spans="10:10">
      <c r="J359" s="1419"/>
    </row>
    <row r="360" spans="10:10">
      <c r="J360" s="1419"/>
    </row>
    <row r="361" spans="10:10">
      <c r="J361" s="1419"/>
    </row>
    <row r="362" spans="10:10">
      <c r="J362" s="1419"/>
    </row>
    <row r="363" spans="10:10">
      <c r="J363" s="1419"/>
    </row>
    <row r="364" spans="10:10">
      <c r="J364" s="1419"/>
    </row>
    <row r="365" spans="10:10">
      <c r="J365" s="1419"/>
    </row>
    <row r="366" spans="10:10">
      <c r="J366" s="1419"/>
    </row>
    <row r="367" spans="10:10">
      <c r="J367" s="1419"/>
    </row>
    <row r="368" spans="10:10">
      <c r="J368" s="1419"/>
    </row>
    <row r="369" spans="10:10">
      <c r="J369" s="1419"/>
    </row>
    <row r="370" spans="10:10">
      <c r="J370" s="1419"/>
    </row>
    <row r="371" spans="10:10">
      <c r="J371" s="1419"/>
    </row>
    <row r="372" spans="10:10">
      <c r="J372" s="1419"/>
    </row>
    <row r="373" spans="10:10">
      <c r="J373" s="1419"/>
    </row>
    <row r="374" spans="10:10">
      <c r="J374" s="1419"/>
    </row>
    <row r="375" spans="10:10">
      <c r="J375" s="1419"/>
    </row>
    <row r="376" spans="10:10">
      <c r="J376" s="1419"/>
    </row>
    <row r="377" spans="10:10">
      <c r="J377" s="1419"/>
    </row>
    <row r="378" spans="10:10">
      <c r="J378" s="1419"/>
    </row>
    <row r="379" spans="10:10">
      <c r="J379" s="1419"/>
    </row>
    <row r="380" spans="10:10">
      <c r="J380" s="1419"/>
    </row>
    <row r="381" spans="10:10">
      <c r="J381" s="1419"/>
    </row>
    <row r="382" spans="10:10">
      <c r="J382" s="1419"/>
    </row>
    <row r="383" spans="10:10">
      <c r="J383" s="1419"/>
    </row>
    <row r="384" spans="10:10">
      <c r="J384" s="1419"/>
    </row>
    <row r="385" spans="10:10">
      <c r="J385" s="1419"/>
    </row>
    <row r="386" spans="10:10">
      <c r="J386" s="1419"/>
    </row>
    <row r="387" spans="10:10">
      <c r="J387" s="1419"/>
    </row>
    <row r="388" spans="10:10">
      <c r="J388" s="1419"/>
    </row>
    <row r="389" spans="10:10">
      <c r="J389" s="1419"/>
    </row>
    <row r="390" spans="10:10">
      <c r="J390" s="1419"/>
    </row>
    <row r="391" spans="10:10">
      <c r="J391" s="1419"/>
    </row>
    <row r="392" spans="10:10">
      <c r="J392" s="1419"/>
    </row>
    <row r="393" spans="10:10">
      <c r="J393" s="1419"/>
    </row>
    <row r="394" spans="10:10">
      <c r="J394" s="1419"/>
    </row>
    <row r="395" spans="10:10">
      <c r="J395" s="1419"/>
    </row>
    <row r="396" spans="10:10">
      <c r="J396" s="1419"/>
    </row>
    <row r="397" spans="10:10">
      <c r="J397" s="1419"/>
    </row>
    <row r="398" spans="10:10">
      <c r="J398" s="1419"/>
    </row>
    <row r="399" spans="10:10">
      <c r="J399" s="1419"/>
    </row>
    <row r="400" spans="10:10">
      <c r="J400" s="1419"/>
    </row>
    <row r="401" spans="10:10">
      <c r="J401" s="1419"/>
    </row>
    <row r="402" spans="10:10">
      <c r="J402" s="1419"/>
    </row>
    <row r="403" spans="10:10">
      <c r="J403" s="1419"/>
    </row>
    <row r="404" spans="10:10">
      <c r="J404" s="1419"/>
    </row>
    <row r="405" spans="10:10">
      <c r="J405" s="1419"/>
    </row>
    <row r="406" spans="10:10">
      <c r="J406" s="1419"/>
    </row>
    <row r="407" spans="10:10">
      <c r="J407" s="1419"/>
    </row>
    <row r="408" spans="10:10">
      <c r="J408" s="1419"/>
    </row>
    <row r="409" spans="10:10">
      <c r="J409" s="1419"/>
    </row>
    <row r="410" spans="10:10">
      <c r="J410" s="1419"/>
    </row>
    <row r="411" spans="10:10">
      <c r="J411" s="1419"/>
    </row>
    <row r="412" spans="10:10">
      <c r="J412" s="1419"/>
    </row>
  </sheetData>
  <phoneticPr fontId="0"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FFFFCC"/>
  </sheetPr>
  <dimension ref="A1:Y44"/>
  <sheetViews>
    <sheetView zoomScale="90" zoomScaleNormal="90" workbookViewId="0"/>
  </sheetViews>
  <sheetFormatPr baseColWidth="10" defaultColWidth="9.140625" defaultRowHeight="12.75"/>
  <cols>
    <col min="1" max="1" width="3.7109375" style="1424" customWidth="1"/>
    <col min="2" max="2" width="13" style="1424" customWidth="1"/>
    <col min="3" max="3" width="11.7109375" style="1424" customWidth="1"/>
    <col min="4" max="5" width="9.140625" style="1424" customWidth="1"/>
    <col min="6" max="6" width="8.42578125" style="1424" customWidth="1"/>
    <col min="7" max="7" width="11.5703125" style="1424" customWidth="1"/>
    <col min="8" max="8" width="14.140625" style="1424" customWidth="1"/>
    <col min="9" max="9" width="10.42578125" style="1424" customWidth="1"/>
    <col min="10" max="10" width="9.28515625" style="1424" customWidth="1"/>
    <col min="11" max="11" width="11.5703125" style="1424" customWidth="1"/>
    <col min="12" max="12" width="10.7109375" style="1424" customWidth="1"/>
    <col min="13" max="13" width="12.42578125" style="1424" customWidth="1"/>
    <col min="14" max="14" width="13.140625" style="1424" customWidth="1"/>
    <col min="15" max="15" width="9.7109375" style="1424" customWidth="1"/>
    <col min="16" max="16" width="12.42578125" style="1424" customWidth="1"/>
    <col min="17" max="17" width="12.28515625" style="1424" customWidth="1"/>
    <col min="18" max="18" width="11" style="1424" customWidth="1"/>
    <col min="19" max="40" width="9.140625" style="1424"/>
    <col min="41" max="41" width="17.7109375" style="1424" bestFit="1" customWidth="1"/>
    <col min="42" max="16384" width="9.140625" style="1424"/>
  </cols>
  <sheetData>
    <row r="1" spans="1:20" ht="17.25" customHeight="1">
      <c r="A1" s="1423"/>
    </row>
    <row r="2" spans="1:20" ht="15.75" customHeight="1">
      <c r="B2" s="1425"/>
    </row>
    <row r="3" spans="1:20" ht="13.5" customHeight="1"/>
    <row r="4" spans="1:20" ht="13.5" customHeight="1">
      <c r="B4" s="1426"/>
    </row>
    <row r="5" spans="1:20" ht="21">
      <c r="B5" s="1158" t="s">
        <v>198</v>
      </c>
      <c r="C5" s="1427"/>
      <c r="D5" s="1427"/>
      <c r="E5" s="1427"/>
      <c r="F5" s="1427"/>
      <c r="G5" s="1427"/>
      <c r="H5" s="1427"/>
      <c r="I5" s="1427"/>
      <c r="J5" s="1427"/>
      <c r="K5" s="1427"/>
      <c r="L5" s="1427"/>
      <c r="M5" s="1427"/>
      <c r="N5" s="1428"/>
      <c r="O5" s="1428"/>
      <c r="P5" s="1428"/>
      <c r="Q5" s="1428"/>
      <c r="R5" s="1428"/>
    </row>
    <row r="6" spans="1:20" ht="13.5" customHeight="1">
      <c r="B6" s="1189" t="s">
        <v>758</v>
      </c>
      <c r="C6" s="1427"/>
      <c r="D6" s="1427"/>
      <c r="E6" s="1427"/>
      <c r="F6" s="1427"/>
      <c r="G6" s="1427"/>
      <c r="H6" s="1427"/>
      <c r="I6" s="1427"/>
      <c r="J6" s="1427"/>
      <c r="K6" s="1427"/>
      <c r="L6" s="1427"/>
      <c r="M6" s="1427"/>
      <c r="N6" s="1428"/>
      <c r="O6" s="1428"/>
      <c r="P6" s="1428"/>
      <c r="Q6" s="1428"/>
      <c r="R6" s="1428"/>
    </row>
    <row r="7" spans="1:20" ht="13.5" customHeight="1">
      <c r="B7" s="1190" t="s">
        <v>30</v>
      </c>
      <c r="C7" s="1427"/>
      <c r="D7" s="1427"/>
      <c r="E7" s="1427"/>
      <c r="F7" s="1427"/>
      <c r="G7" s="1427"/>
      <c r="H7" s="1427"/>
      <c r="I7" s="1427"/>
      <c r="J7" s="1427"/>
      <c r="K7" s="1427"/>
      <c r="L7" s="1427"/>
      <c r="M7" s="1427"/>
      <c r="N7" s="1429"/>
      <c r="O7" s="1384"/>
      <c r="P7" s="1384"/>
      <c r="Q7" s="1384"/>
      <c r="R7" s="1429"/>
    </row>
    <row r="8" spans="1:20" ht="13.5" customHeight="1">
      <c r="B8" s="1430"/>
      <c r="C8" s="1427"/>
      <c r="D8" s="1427"/>
      <c r="E8" s="1427"/>
      <c r="F8" s="1427"/>
      <c r="G8" s="1427"/>
      <c r="H8" s="1427"/>
      <c r="I8" s="1427"/>
      <c r="J8" s="1427"/>
      <c r="K8" s="1427"/>
      <c r="L8" s="1427"/>
      <c r="M8" s="1427"/>
      <c r="N8" s="1427"/>
      <c r="O8" s="1427"/>
      <c r="P8" s="1427"/>
      <c r="Q8" s="1427"/>
      <c r="R8" s="1427"/>
    </row>
    <row r="9" spans="1:20" ht="13.5" customHeight="1">
      <c r="B9" s="2022" t="s">
        <v>1915</v>
      </c>
      <c r="C9" s="1427"/>
      <c r="D9" s="1427"/>
      <c r="E9" s="1427"/>
      <c r="F9" s="1427"/>
      <c r="G9" s="1427"/>
      <c r="H9" s="1427"/>
      <c r="I9" s="1427"/>
      <c r="J9" s="1427"/>
      <c r="K9" s="1427"/>
      <c r="L9" s="1427"/>
      <c r="M9" s="1439"/>
      <c r="N9" s="1427"/>
      <c r="O9" s="1427"/>
      <c r="P9" s="1427"/>
      <c r="Q9" s="1427"/>
      <c r="R9" s="1427"/>
    </row>
    <row r="10" spans="1:20" ht="13.5" customHeight="1">
      <c r="B10" s="1431"/>
      <c r="C10" s="1427"/>
      <c r="D10" s="1427"/>
      <c r="E10" s="1427"/>
      <c r="F10" s="1427"/>
      <c r="G10" s="1427"/>
      <c r="H10" s="1427"/>
      <c r="I10" s="1427"/>
      <c r="J10" s="1427"/>
      <c r="K10" s="1427"/>
      <c r="L10" s="1427"/>
      <c r="M10" s="1439"/>
      <c r="N10" s="1427"/>
      <c r="O10" s="1427"/>
      <c r="P10" s="1427"/>
      <c r="Q10" s="1427"/>
      <c r="R10" s="1427"/>
    </row>
    <row r="11" spans="1:20" ht="13.5" customHeight="1">
      <c r="B11" s="2406" t="s">
        <v>591</v>
      </c>
      <c r="C11" s="2406"/>
      <c r="D11" s="2406"/>
      <c r="E11" s="2406"/>
      <c r="F11" s="2406"/>
      <c r="G11" s="2406"/>
      <c r="H11" s="2406"/>
      <c r="I11" s="2406"/>
      <c r="J11" s="2406"/>
      <c r="K11" s="2406"/>
      <c r="L11" s="2406"/>
      <c r="M11" s="1437"/>
      <c r="N11" s="2406" t="s">
        <v>604</v>
      </c>
      <c r="O11" s="2406"/>
      <c r="P11" s="2406"/>
      <c r="Q11" s="2406"/>
      <c r="R11" s="2406"/>
    </row>
    <row r="12" spans="1:20" ht="13.5" customHeight="1">
      <c r="B12" s="538" t="s">
        <v>1897</v>
      </c>
      <c r="C12" s="877"/>
      <c r="D12" s="107"/>
      <c r="E12" s="107"/>
      <c r="F12" s="107"/>
      <c r="G12" s="107"/>
      <c r="H12" s="878"/>
      <c r="I12" s="107"/>
      <c r="J12" s="107"/>
      <c r="K12" s="107"/>
      <c r="L12" s="108"/>
      <c r="M12" s="1432"/>
      <c r="N12" s="1084"/>
      <c r="O12" s="878"/>
      <c r="P12" s="878"/>
      <c r="Q12" s="107"/>
      <c r="R12" s="108"/>
    </row>
    <row r="13" spans="1:20" s="1433" customFormat="1" ht="45">
      <c r="B13" s="1085"/>
      <c r="C13" s="879" t="s">
        <v>592</v>
      </c>
      <c r="D13" s="879" t="s">
        <v>593</v>
      </c>
      <c r="E13" s="879" t="s">
        <v>594</v>
      </c>
      <c r="F13" s="879" t="s">
        <v>595</v>
      </c>
      <c r="G13" s="879" t="s">
        <v>596</v>
      </c>
      <c r="H13" s="879" t="s">
        <v>597</v>
      </c>
      <c r="I13" s="879" t="s">
        <v>598</v>
      </c>
      <c r="J13" s="879" t="s">
        <v>599</v>
      </c>
      <c r="K13" s="879" t="s">
        <v>600</v>
      </c>
      <c r="L13" s="1086" t="s">
        <v>601</v>
      </c>
      <c r="M13" s="1434"/>
      <c r="N13" s="1087" t="s">
        <v>592</v>
      </c>
      <c r="O13" s="879" t="s">
        <v>593</v>
      </c>
      <c r="P13" s="879" t="s">
        <v>594</v>
      </c>
      <c r="Q13" s="879" t="s">
        <v>595</v>
      </c>
      <c r="R13" s="1086" t="s">
        <v>596</v>
      </c>
      <c r="T13" s="1435"/>
    </row>
    <row r="14" spans="1:20" ht="13.5" customHeight="1">
      <c r="B14" s="1378" t="s">
        <v>602</v>
      </c>
      <c r="C14" s="500" t="e">
        <f ca="1">_xll.BDP($B14,C$13,$N$13:$R$13,$N14:$R14)</f>
        <v>#NAME?</v>
      </c>
      <c r="D14" s="475" t="e">
        <f ca="1">_xll.BDP($B14,D$13,$N$13:$R$13,$N14:$R14)</f>
        <v>#NAME?</v>
      </c>
      <c r="E14" s="475" t="e">
        <f ca="1">_xll.BDP($B14,E$13,$N$13:$R$13,$N14:$R14)</f>
        <v>#NAME?</v>
      </c>
      <c r="F14" s="475" t="e">
        <f ca="1">_xll.BDP($B14,F$13,$N$13:$R$13,$N14:$R14)</f>
        <v>#NAME?</v>
      </c>
      <c r="G14" s="475" t="e">
        <f ca="1">_xll.BDP($B14,G$13,$N$13:$R$13,$N14:$R14)</f>
        <v>#NAME?</v>
      </c>
      <c r="H14" s="816" t="e">
        <f ca="1">_xll.BDP($B14,H$13,$N$13:$R$13,$N14:$R14)</f>
        <v>#NAME?</v>
      </c>
      <c r="I14" s="817" t="e">
        <f ca="1">_xll.BDP($B14,I$13,$N$13:$R$13,$N14:$R14)</f>
        <v>#NAME?</v>
      </c>
      <c r="J14" s="819" t="e">
        <f ca="1">_xll.BDP($B14,J$13,$N$13:$R$13,$N14:$R14)</f>
        <v>#NAME?</v>
      </c>
      <c r="K14" s="819" t="e">
        <f ca="1">_xll.BDP($B14,K$13,$N$13:$R$13,$N14:$R14)</f>
        <v>#NAME?</v>
      </c>
      <c r="L14" s="818" t="e">
        <f ca="1">_xll.BDP($B14,L$13,$N$13:$R$13,$N14:$R14)</f>
        <v>#NAME?</v>
      </c>
      <c r="M14" s="1432"/>
      <c r="N14" s="1356">
        <v>20110819</v>
      </c>
      <c r="O14" s="1357">
        <v>113.75</v>
      </c>
      <c r="P14" s="1357">
        <v>2.25</v>
      </c>
      <c r="Q14" s="1357">
        <v>1000</v>
      </c>
      <c r="R14" s="1358">
        <v>20110919</v>
      </c>
    </row>
    <row r="15" spans="1:20" ht="13.5" customHeight="1">
      <c r="B15" s="1436"/>
      <c r="C15" s="1436"/>
      <c r="D15" s="1436"/>
      <c r="E15" s="1436"/>
      <c r="F15" s="1436"/>
      <c r="G15" s="1436"/>
      <c r="H15" s="1436"/>
      <c r="I15" s="1436"/>
      <c r="J15" s="1436"/>
      <c r="K15" s="1436"/>
      <c r="L15" s="1436"/>
      <c r="M15" s="1437"/>
      <c r="N15" s="1438"/>
      <c r="O15" s="1439"/>
      <c r="P15" s="1439"/>
      <c r="Q15" s="1439"/>
      <c r="R15" s="1438"/>
    </row>
    <row r="16" spans="1:20" ht="13.5" customHeight="1">
      <c r="B16" s="1430"/>
      <c r="C16" s="1427"/>
      <c r="D16" s="1427"/>
      <c r="E16" s="1427"/>
      <c r="F16" s="1427"/>
      <c r="G16" s="1427"/>
      <c r="H16" s="1427"/>
      <c r="I16" s="1427"/>
      <c r="J16" s="1427"/>
      <c r="K16" s="1427"/>
      <c r="L16" s="1427"/>
      <c r="M16" s="1427"/>
      <c r="N16" s="1427"/>
      <c r="O16" s="1427"/>
      <c r="P16" s="1427"/>
      <c r="Q16" s="1427"/>
      <c r="R16" s="1427"/>
    </row>
    <row r="17" spans="2:25" ht="13.5" customHeight="1">
      <c r="B17" s="1430"/>
      <c r="C17" s="1427"/>
      <c r="D17" s="1427"/>
      <c r="E17" s="1427"/>
      <c r="F17" s="1427"/>
      <c r="G17" s="1427"/>
      <c r="H17" s="1427"/>
      <c r="I17" s="1427"/>
      <c r="J17" s="1427"/>
      <c r="K17" s="1427"/>
      <c r="L17" s="1427"/>
      <c r="M17" s="1427"/>
      <c r="N17" s="1427"/>
      <c r="O17" s="1427"/>
      <c r="P17" s="1427"/>
      <c r="Q17" s="1427"/>
      <c r="R17" s="1427"/>
    </row>
    <row r="18" spans="2:25" ht="13.5" customHeight="1">
      <c r="B18" s="1430"/>
      <c r="C18" s="1427"/>
      <c r="D18" s="1427"/>
      <c r="E18" s="1427"/>
      <c r="F18" s="1427"/>
      <c r="G18" s="1427"/>
      <c r="H18" s="1427"/>
      <c r="I18" s="1427"/>
      <c r="J18" s="1427"/>
      <c r="K18" s="1427"/>
      <c r="L18" s="1427"/>
      <c r="M18" s="1427"/>
      <c r="N18" s="1427"/>
      <c r="O18" s="1427"/>
      <c r="P18" s="1427"/>
      <c r="Q18" s="1427"/>
      <c r="R18" s="1427"/>
    </row>
    <row r="19" spans="2:25" ht="13.5" customHeight="1">
      <c r="B19" s="1430"/>
      <c r="C19" s="1427"/>
      <c r="D19" s="1427"/>
      <c r="E19" s="1427"/>
      <c r="F19" s="1427"/>
      <c r="G19" s="1427"/>
      <c r="H19" s="1427"/>
      <c r="I19" s="1427"/>
      <c r="J19" s="1427"/>
      <c r="K19" s="1427"/>
      <c r="L19" s="1427"/>
      <c r="M19" s="1427"/>
      <c r="N19" s="1427"/>
      <c r="O19" s="1427"/>
      <c r="P19" s="1427"/>
      <c r="Q19" s="1427"/>
      <c r="R19" s="1427"/>
      <c r="T19" s="1998" t="s">
        <v>1896</v>
      </c>
    </row>
    <row r="20" spans="2:25" ht="13.5" customHeight="1">
      <c r="B20" s="1430"/>
      <c r="C20" s="1427"/>
      <c r="D20" s="1427"/>
      <c r="E20" s="1427"/>
      <c r="F20" s="1427"/>
      <c r="G20" s="1427"/>
      <c r="H20" s="1427"/>
      <c r="I20" s="1427"/>
      <c r="J20" s="1427"/>
      <c r="K20" s="1427"/>
      <c r="L20" s="1427"/>
      <c r="M20" s="1427"/>
      <c r="N20" s="1427"/>
      <c r="O20" s="1427"/>
      <c r="P20" s="1427"/>
      <c r="Q20" s="1427"/>
      <c r="R20" s="1427"/>
    </row>
    <row r="21" spans="2:25" ht="13.5" customHeight="1">
      <c r="B21" s="1430"/>
      <c r="C21" s="1427"/>
      <c r="D21" s="1427"/>
      <c r="E21" s="1427"/>
      <c r="F21" s="1427"/>
      <c r="G21" s="1427"/>
      <c r="H21" s="1427"/>
      <c r="I21" s="1427"/>
      <c r="J21" s="1427"/>
      <c r="K21" s="1427"/>
      <c r="L21" s="1427"/>
      <c r="M21" s="1427"/>
      <c r="N21" s="1427"/>
      <c r="O21" s="1427"/>
      <c r="P21" s="1427"/>
      <c r="Q21" s="1427"/>
      <c r="R21" s="1427"/>
    </row>
    <row r="22" spans="2:25" ht="13.5" customHeight="1">
      <c r="C22" s="1427"/>
      <c r="D22" s="1427"/>
      <c r="E22" s="1427"/>
      <c r="F22" s="1427"/>
      <c r="G22" s="1427"/>
      <c r="H22" s="1427"/>
      <c r="I22" s="1427"/>
      <c r="J22" s="1427"/>
      <c r="K22" s="1427"/>
      <c r="L22" s="1427"/>
      <c r="M22" s="1427"/>
      <c r="N22" s="1427"/>
      <c r="O22" s="1427"/>
      <c r="P22" s="1427"/>
      <c r="Q22" s="1427"/>
      <c r="R22" s="1427"/>
    </row>
    <row r="23" spans="2:25" ht="15">
      <c r="B23" s="1430"/>
      <c r="C23" s="1427"/>
      <c r="D23" s="1427"/>
      <c r="E23" s="1427"/>
      <c r="F23" s="1427"/>
      <c r="G23" s="1427"/>
      <c r="H23" s="1427"/>
      <c r="I23" s="1427"/>
      <c r="J23" s="1427"/>
      <c r="K23" s="1427"/>
      <c r="L23" s="1427"/>
      <c r="M23" s="1427"/>
      <c r="N23" s="1427"/>
      <c r="O23" s="1427"/>
      <c r="P23" s="1427"/>
      <c r="Q23" s="1427"/>
      <c r="R23" s="1427"/>
    </row>
    <row r="24" spans="2:25" s="1267" customFormat="1" ht="15.75">
      <c r="R24" s="1427"/>
    </row>
    <row r="25" spans="2:25" s="1440" customFormat="1" ht="15">
      <c r="R25" s="1441"/>
    </row>
    <row r="26" spans="2:25" s="1442" customFormat="1" ht="15">
      <c r="R26" s="1443"/>
      <c r="Y26" s="1424"/>
    </row>
    <row r="27" spans="2:25" ht="15">
      <c r="R27" s="1427"/>
    </row>
    <row r="28" spans="2:25" ht="15">
      <c r="R28" s="1427"/>
    </row>
    <row r="29" spans="2:25" ht="15">
      <c r="B29" s="1427"/>
      <c r="C29" s="1427"/>
      <c r="D29" s="1427"/>
      <c r="E29" s="1427"/>
      <c r="F29" s="1427"/>
      <c r="G29" s="1427"/>
      <c r="H29" s="1427"/>
      <c r="I29" s="1427"/>
      <c r="J29" s="1427"/>
      <c r="K29" s="1427"/>
      <c r="L29" s="1427"/>
      <c r="M29" s="1439"/>
      <c r="N29" s="1439"/>
      <c r="O29" s="1439"/>
      <c r="P29" s="1439"/>
      <c r="Q29" s="1427"/>
      <c r="R29" s="1427"/>
    </row>
    <row r="30" spans="2:25" ht="15">
      <c r="B30" s="1427"/>
      <c r="C30" s="1427"/>
      <c r="D30" s="1427"/>
      <c r="E30" s="1427"/>
      <c r="F30" s="1427"/>
      <c r="G30" s="1427"/>
      <c r="H30" s="1427"/>
      <c r="I30" s="1427"/>
      <c r="J30" s="1427"/>
      <c r="K30" s="1427"/>
      <c r="L30" s="1427"/>
      <c r="M30" s="1427"/>
      <c r="N30" s="1427"/>
      <c r="O30" s="1427"/>
      <c r="P30" s="1427"/>
      <c r="Q30" s="1427"/>
      <c r="R30" s="1427"/>
    </row>
    <row r="31" spans="2:25" ht="15">
      <c r="B31" s="1427"/>
      <c r="C31" s="1427"/>
      <c r="D31" s="1427"/>
      <c r="E31" s="1427"/>
      <c r="F31" s="1427"/>
      <c r="G31" s="1427"/>
      <c r="H31" s="1427"/>
      <c r="I31" s="1427"/>
      <c r="J31" s="1427"/>
      <c r="K31" s="1427"/>
      <c r="L31" s="1427"/>
      <c r="M31" s="1427"/>
      <c r="N31" s="1427"/>
      <c r="O31" s="1427"/>
      <c r="P31" s="1427"/>
      <c r="Q31" s="1427"/>
      <c r="R31" s="1427"/>
    </row>
    <row r="32" spans="2:25" ht="15">
      <c r="B32" s="1427"/>
      <c r="C32" s="1427"/>
      <c r="D32" s="1427"/>
      <c r="E32" s="1427"/>
      <c r="F32" s="1427"/>
      <c r="G32" s="1427"/>
      <c r="H32" s="1427"/>
      <c r="I32" s="1427"/>
      <c r="J32" s="1427"/>
      <c r="K32" s="1427"/>
      <c r="L32" s="1427"/>
      <c r="M32" s="1427"/>
      <c r="N32" s="1427"/>
      <c r="O32" s="1427"/>
      <c r="P32" s="1427"/>
      <c r="Q32" s="1427"/>
      <c r="R32" s="1427"/>
    </row>
    <row r="33" spans="2:20" ht="15">
      <c r="B33" s="1427"/>
      <c r="C33" s="1427"/>
      <c r="D33" s="1427"/>
      <c r="E33" s="1427"/>
      <c r="F33" s="1427"/>
      <c r="G33" s="1427"/>
      <c r="H33" s="1427"/>
      <c r="I33" s="1427"/>
      <c r="J33" s="1427"/>
      <c r="K33" s="1427"/>
      <c r="L33" s="1427"/>
      <c r="M33" s="1427"/>
      <c r="N33" s="1427"/>
      <c r="O33" s="1427"/>
      <c r="P33" s="1427"/>
      <c r="Q33" s="1427"/>
      <c r="R33" s="1427"/>
    </row>
    <row r="34" spans="2:20" ht="15">
      <c r="B34" s="1427"/>
      <c r="C34" s="1427"/>
      <c r="D34" s="1427"/>
      <c r="E34" s="1427"/>
      <c r="F34" s="1427"/>
      <c r="G34" s="1427"/>
      <c r="H34" s="1427"/>
      <c r="I34" s="1427"/>
      <c r="J34" s="1427"/>
      <c r="K34" s="1427"/>
      <c r="L34" s="1427"/>
      <c r="M34" s="1427"/>
      <c r="N34" s="1427"/>
      <c r="O34" s="1427"/>
      <c r="P34" s="1427"/>
      <c r="Q34" s="1427"/>
      <c r="R34" s="1427"/>
    </row>
    <row r="35" spans="2:20" ht="15">
      <c r="B35" s="1427"/>
      <c r="C35" s="1427"/>
      <c r="D35" s="1427"/>
      <c r="E35" s="1427"/>
      <c r="F35" s="1427"/>
      <c r="G35" s="1427"/>
      <c r="H35" s="1427"/>
      <c r="I35" s="1427"/>
      <c r="J35" s="1427"/>
      <c r="K35" s="1427"/>
      <c r="L35" s="1427"/>
      <c r="M35" s="1427"/>
      <c r="N35" s="1427"/>
      <c r="O35" s="1427"/>
      <c r="P35" s="1427"/>
      <c r="Q35" s="1427"/>
      <c r="R35" s="1427"/>
    </row>
    <row r="36" spans="2:20" ht="15">
      <c r="B36" s="1427"/>
      <c r="C36" s="1427"/>
      <c r="D36" s="1427"/>
      <c r="E36" s="1427"/>
      <c r="F36" s="1427"/>
      <c r="G36" s="1427"/>
      <c r="H36" s="1427"/>
      <c r="I36" s="1427"/>
      <c r="J36" s="1427"/>
      <c r="K36" s="1427"/>
      <c r="L36" s="1427"/>
      <c r="M36" s="1427"/>
      <c r="N36" s="1427"/>
      <c r="O36" s="1427"/>
      <c r="P36" s="1427"/>
      <c r="Q36" s="1427"/>
      <c r="R36" s="1427"/>
    </row>
    <row r="37" spans="2:20" ht="15">
      <c r="B37" s="1427"/>
      <c r="C37" s="1427"/>
      <c r="D37" s="1427"/>
      <c r="E37" s="1427"/>
      <c r="F37" s="1427"/>
      <c r="G37" s="1427"/>
      <c r="H37" s="1427"/>
      <c r="I37" s="1427"/>
      <c r="J37" s="1427"/>
      <c r="K37" s="1427"/>
      <c r="L37" s="1427"/>
      <c r="M37" s="1427"/>
      <c r="N37" s="1427"/>
      <c r="O37" s="1427"/>
      <c r="P37" s="1427"/>
      <c r="Q37" s="1427"/>
      <c r="R37" s="1427"/>
    </row>
    <row r="38" spans="2:20" ht="15">
      <c r="B38" s="1427"/>
      <c r="C38" s="1427"/>
      <c r="D38" s="1427"/>
      <c r="E38" s="1427"/>
      <c r="F38" s="1427"/>
      <c r="G38" s="1427"/>
      <c r="H38" s="1427"/>
      <c r="I38" s="1427"/>
      <c r="J38" s="1427"/>
      <c r="K38" s="1427"/>
      <c r="L38" s="1427"/>
      <c r="M38" s="1441"/>
      <c r="N38" s="1427"/>
      <c r="O38" s="1427"/>
      <c r="P38" s="1427"/>
      <c r="Q38" s="1427"/>
      <c r="R38" s="1427"/>
    </row>
    <row r="39" spans="2:20" ht="15">
      <c r="B39" s="1427"/>
      <c r="C39" s="1427"/>
      <c r="D39" s="1427"/>
      <c r="E39" s="1427"/>
      <c r="F39" s="1427"/>
      <c r="G39" s="1427"/>
      <c r="H39" s="1427"/>
      <c r="I39" s="1427"/>
      <c r="J39" s="1444"/>
      <c r="K39" s="1427"/>
      <c r="L39" s="1427"/>
      <c r="M39" s="1441"/>
      <c r="N39" s="1427"/>
      <c r="O39" s="1427"/>
      <c r="P39" s="1427"/>
      <c r="Q39" s="1427"/>
      <c r="R39" s="1427"/>
    </row>
    <row r="40" spans="2:20" ht="15">
      <c r="B40" s="1427"/>
      <c r="C40" s="1427"/>
      <c r="D40" s="1427"/>
      <c r="E40" s="1427"/>
      <c r="F40" s="1427"/>
      <c r="G40" s="1427"/>
      <c r="H40" s="1427"/>
      <c r="I40" s="1427"/>
      <c r="J40" s="1427"/>
      <c r="K40" s="1427"/>
      <c r="L40" s="1427"/>
      <c r="M40" s="1427"/>
      <c r="N40" s="1427"/>
      <c r="O40" s="1427"/>
      <c r="P40" s="1427"/>
      <c r="Q40" s="1427"/>
      <c r="R40" s="1427"/>
    </row>
    <row r="41" spans="2:20" ht="15">
      <c r="B41" s="1427"/>
      <c r="C41" s="1427"/>
      <c r="D41" s="1427"/>
      <c r="E41" s="1427"/>
      <c r="F41" s="1427"/>
      <c r="G41" s="1427"/>
      <c r="H41" s="1427"/>
      <c r="I41" s="1427"/>
      <c r="J41" s="1427"/>
      <c r="K41" s="1427"/>
      <c r="L41" s="1427"/>
      <c r="M41" s="1427"/>
      <c r="N41" s="1427"/>
      <c r="O41" s="1427"/>
      <c r="P41" s="1427"/>
      <c r="Q41" s="1427"/>
      <c r="R41" s="1427"/>
    </row>
    <row r="42" spans="2:20" ht="15">
      <c r="B42" s="1427"/>
      <c r="C42" s="1427"/>
      <c r="D42" s="1427"/>
      <c r="E42" s="1427"/>
      <c r="F42" s="1427"/>
      <c r="G42" s="1427"/>
      <c r="H42" s="1427"/>
      <c r="I42" s="1427"/>
      <c r="J42" s="1427"/>
      <c r="K42" s="1427"/>
      <c r="L42" s="1427"/>
      <c r="M42" s="1427"/>
      <c r="N42" s="1427"/>
      <c r="O42" s="1427"/>
      <c r="P42" s="1427"/>
      <c r="Q42" s="1427"/>
      <c r="R42" s="1427"/>
      <c r="T42" s="1435"/>
    </row>
    <row r="43" spans="2:20" ht="15">
      <c r="B43" s="1427"/>
      <c r="C43" s="1427"/>
      <c r="D43" s="1427"/>
      <c r="E43" s="1427"/>
      <c r="F43" s="1427"/>
      <c r="G43" s="1427"/>
      <c r="H43" s="1427"/>
      <c r="I43" s="1427"/>
      <c r="J43" s="1427"/>
      <c r="K43" s="1427"/>
      <c r="L43" s="1427"/>
      <c r="M43" s="1427"/>
      <c r="N43" s="1427"/>
      <c r="O43" s="1427"/>
      <c r="P43" s="1427"/>
      <c r="Q43" s="1427"/>
      <c r="R43" s="1427"/>
    </row>
    <row r="44" spans="2:20" ht="15">
      <c r="B44" s="1427"/>
      <c r="C44" s="1427"/>
      <c r="D44" s="1427"/>
      <c r="E44" s="1427"/>
      <c r="F44" s="1427"/>
      <c r="G44" s="1427"/>
      <c r="H44" s="1427"/>
      <c r="I44" s="1427"/>
      <c r="J44" s="1427"/>
      <c r="K44" s="1427"/>
      <c r="L44" s="1427"/>
      <c r="M44" s="1427"/>
      <c r="N44" s="1427"/>
      <c r="O44" s="1427"/>
      <c r="P44" s="1427"/>
      <c r="Q44" s="1427"/>
      <c r="R44" s="1427"/>
    </row>
  </sheetData>
  <mergeCells count="2">
    <mergeCell ref="B11:L11"/>
    <mergeCell ref="N11:R11"/>
  </mergeCells>
  <phoneticPr fontId="0" type="noConversion"/>
  <pageMargins left="0.75" right="0.75" top="1" bottom="1" header="0.5" footer="0.5"/>
  <pageSetup paperSize="9" orientation="portrait" r:id="rId1"/>
  <headerFooter alignWithMargins="0"/>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FFCC"/>
  </sheetPr>
  <dimension ref="A1:AD244"/>
  <sheetViews>
    <sheetView zoomScale="90" zoomScaleNormal="90" workbookViewId="0"/>
  </sheetViews>
  <sheetFormatPr baseColWidth="10" defaultColWidth="9" defaultRowHeight="15" customHeight="1"/>
  <cols>
    <col min="1" max="1" width="3.7109375" style="1117" customWidth="1"/>
    <col min="2" max="2" width="10.5703125" style="1117" customWidth="1"/>
    <col min="3" max="3" width="9" style="1117"/>
    <col min="4" max="4" width="10.42578125" style="1117" customWidth="1"/>
    <col min="5" max="16" width="9" style="1117"/>
    <col min="17" max="17" width="7.42578125" style="1117" customWidth="1"/>
    <col min="18" max="20" width="9" style="1117"/>
    <col min="21" max="21" width="22.85546875" style="1117" bestFit="1" customWidth="1"/>
    <col min="22" max="26" width="10.140625" style="1117" customWidth="1"/>
    <col min="27" max="27" width="15.42578125" style="1117" bestFit="1" customWidth="1"/>
    <col min="28" max="28" width="10.140625" style="1117" customWidth="1"/>
    <col min="29" max="16384" width="9" style="1117"/>
  </cols>
  <sheetData>
    <row r="1" spans="1:1" ht="17.25" customHeight="1">
      <c r="A1" s="1154"/>
    </row>
    <row r="32" spans="21:21" ht="15" customHeight="1">
      <c r="U32" s="1447" t="s">
        <v>1746</v>
      </c>
    </row>
    <row r="33" spans="20:30" ht="15" customHeight="1">
      <c r="U33" s="1447" t="s">
        <v>1747</v>
      </c>
    </row>
    <row r="34" spans="20:30" ht="15" customHeight="1">
      <c r="U34" s="1448" t="s">
        <v>1748</v>
      </c>
    </row>
    <row r="35" spans="20:30" ht="15" customHeight="1">
      <c r="U35" s="1448" t="s">
        <v>1750</v>
      </c>
    </row>
    <row r="38" spans="20:30" ht="15" customHeight="1">
      <c r="T38" s="1446"/>
      <c r="U38" s="1446"/>
      <c r="V38" s="1446"/>
      <c r="W38" s="1446"/>
      <c r="X38" s="1446"/>
      <c r="Y38" s="1446"/>
      <c r="Z38" s="1446"/>
      <c r="AA38" s="1446"/>
      <c r="AB38" s="1446"/>
      <c r="AC38" s="1446"/>
      <c r="AD38" s="1446"/>
    </row>
    <row r="39" spans="20:30" ht="18.75" customHeight="1">
      <c r="T39" s="1446"/>
      <c r="U39" s="2171"/>
      <c r="V39" s="2172"/>
      <c r="W39" s="2172"/>
      <c r="X39" s="2172"/>
      <c r="Y39" s="2172"/>
      <c r="Z39" s="2172"/>
      <c r="AA39" s="2172"/>
      <c r="AB39" s="2172"/>
      <c r="AC39" s="2172"/>
      <c r="AD39" s="2172"/>
    </row>
    <row r="40" spans="20:30" ht="15" customHeight="1">
      <c r="T40" s="1446"/>
      <c r="U40" s="2169"/>
      <c r="V40" s="2160"/>
      <c r="W40" s="2161" t="s">
        <v>1761</v>
      </c>
      <c r="X40" s="2160"/>
      <c r="Y40" s="2160"/>
      <c r="Z40" s="2160"/>
      <c r="AA40" s="2160"/>
      <c r="AB40" s="2160"/>
      <c r="AC40" s="2160"/>
      <c r="AD40" s="2160"/>
    </row>
    <row r="41" spans="20:30" ht="15" customHeight="1">
      <c r="T41" s="1446"/>
      <c r="U41" s="2169"/>
      <c r="V41" s="2160"/>
      <c r="W41" s="2162" t="s">
        <v>1130</v>
      </c>
      <c r="X41" s="2162" t="s">
        <v>1131</v>
      </c>
      <c r="Y41" s="2162" t="s">
        <v>1717</v>
      </c>
      <c r="Z41" s="2162" t="s">
        <v>1718</v>
      </c>
      <c r="AA41" s="2162" t="s">
        <v>1220</v>
      </c>
      <c r="AB41" s="2163" t="s">
        <v>1719</v>
      </c>
      <c r="AC41" s="2160"/>
      <c r="AD41" s="2160"/>
    </row>
    <row r="42" spans="20:30" ht="15" customHeight="1">
      <c r="T42" s="1446"/>
      <c r="U42" s="2169" t="s">
        <v>1749</v>
      </c>
      <c r="V42" s="2160"/>
      <c r="W42" s="2164" t="e">
        <f ca="1">_xll.BDP($U42,W$41)</f>
        <v>#NAME?</v>
      </c>
      <c r="X42" s="2165" t="e">
        <f ca="1">_xll.BDP($U42,X$41)</f>
        <v>#NAME?</v>
      </c>
      <c r="Y42" s="2165" t="e">
        <f ca="1">_xll.BDP($U42,Y$41)</f>
        <v>#NAME?</v>
      </c>
      <c r="Z42" s="2165" t="e">
        <f ca="1">_xll.BDP($U42,Z$41)</f>
        <v>#NAME?</v>
      </c>
      <c r="AA42" s="2162" t="e">
        <f ca="1">_xll.BDP($U42,AA$41)</f>
        <v>#NAME?</v>
      </c>
      <c r="AB42" s="2163" t="e">
        <f ca="1">_xll.BDP($U42,AB$41)</f>
        <v>#NAME?</v>
      </c>
      <c r="AC42" s="2160"/>
      <c r="AD42" s="2160"/>
    </row>
    <row r="43" spans="20:30" ht="15" customHeight="1">
      <c r="T43" s="1446"/>
      <c r="U43" s="2169" t="s">
        <v>1760</v>
      </c>
      <c r="V43" s="2160"/>
      <c r="W43" s="2165" t="e">
        <f ca="1">_xll.BDP($U43,W$41)</f>
        <v>#NAME?</v>
      </c>
      <c r="X43" s="2165" t="e">
        <f ca="1">_xll.BDP($U43,X$41)</f>
        <v>#NAME?</v>
      </c>
      <c r="Y43" s="2165" t="e">
        <f ca="1">_xll.BDP($U43,Y$41)</f>
        <v>#NAME?</v>
      </c>
      <c r="Z43" s="2165" t="e">
        <f ca="1">_xll.BDP($U43,Z$41)</f>
        <v>#NAME?</v>
      </c>
      <c r="AA43" s="2162" t="e">
        <f ca="1">_xll.BDP($U43,AA$41)</f>
        <v>#NAME?</v>
      </c>
      <c r="AB43" s="2163" t="e">
        <f ca="1">_xll.BDP($U43,AB$41)</f>
        <v>#NAME?</v>
      </c>
      <c r="AC43" s="2160"/>
      <c r="AD43" s="2160"/>
    </row>
    <row r="44" spans="20:30" ht="15" customHeight="1">
      <c r="T44" s="1446"/>
      <c r="U44" s="2169" t="s">
        <v>1759</v>
      </c>
      <c r="V44" s="2160"/>
      <c r="W44" s="2165" t="e">
        <f ca="1">_xll.BDP($U44,W$41)</f>
        <v>#NAME?</v>
      </c>
      <c r="X44" s="2165" t="e">
        <f ca="1">_xll.BDP($U44,X$41)</f>
        <v>#NAME?</v>
      </c>
      <c r="Y44" s="2165" t="e">
        <f ca="1">_xll.BDP($U44,Y$41)</f>
        <v>#NAME?</v>
      </c>
      <c r="Z44" s="2165" t="e">
        <f ca="1">_xll.BDP($U44,Z$41)</f>
        <v>#NAME?</v>
      </c>
      <c r="AA44" s="2162" t="e">
        <f ca="1">_xll.BDP($U44,AA$41)</f>
        <v>#NAME?</v>
      </c>
      <c r="AB44" s="2163" t="e">
        <f ca="1">_xll.BDP($U44,AB$41)</f>
        <v>#NAME?</v>
      </c>
      <c r="AC44" s="2160"/>
      <c r="AD44" s="2160"/>
    </row>
    <row r="45" spans="20:30" ht="15" customHeight="1">
      <c r="T45" s="1446"/>
      <c r="U45" s="2169" t="s">
        <v>1758</v>
      </c>
      <c r="V45" s="2160"/>
      <c r="W45" s="2165" t="e">
        <f ca="1">_xll.BDP($U45,W$41)</f>
        <v>#NAME?</v>
      </c>
      <c r="X45" s="2165" t="e">
        <f ca="1">_xll.BDP($U45,X$41)</f>
        <v>#NAME?</v>
      </c>
      <c r="Y45" s="2165" t="e">
        <f ca="1">_xll.BDP($U45,Y$41)</f>
        <v>#NAME?</v>
      </c>
      <c r="Z45" s="2165" t="e">
        <f ca="1">_xll.BDP($U45,Z$41)</f>
        <v>#NAME?</v>
      </c>
      <c r="AA45" s="2162" t="e">
        <f ca="1">_xll.BDP($U45,AA$41)</f>
        <v>#NAME?</v>
      </c>
      <c r="AB45" s="2163" t="e">
        <f ca="1">_xll.BDP($U45,AB$41)</f>
        <v>#NAME?</v>
      </c>
      <c r="AC45" s="2160"/>
      <c r="AD45" s="2160"/>
    </row>
    <row r="46" spans="20:30" ht="15" customHeight="1">
      <c r="T46" s="1446"/>
      <c r="U46" s="2169" t="s">
        <v>1757</v>
      </c>
      <c r="V46" s="2160"/>
      <c r="W46" s="2165" t="e">
        <f ca="1">_xll.BDP($U46,W$41)</f>
        <v>#NAME?</v>
      </c>
      <c r="X46" s="2165" t="e">
        <f ca="1">_xll.BDP($U46,X$41)</f>
        <v>#NAME?</v>
      </c>
      <c r="Y46" s="2165" t="e">
        <f ca="1">_xll.BDP($U46,Y$41)</f>
        <v>#NAME?</v>
      </c>
      <c r="Z46" s="2165" t="e">
        <f ca="1">_xll.BDP($U46,Z$41)</f>
        <v>#NAME?</v>
      </c>
      <c r="AA46" s="2162" t="e">
        <f ca="1">_xll.BDP($U46,AA$41)</f>
        <v>#NAME?</v>
      </c>
      <c r="AB46" s="2163" t="e">
        <f ca="1">_xll.BDP($U46,AB$41)</f>
        <v>#NAME?</v>
      </c>
      <c r="AC46" s="2160"/>
      <c r="AD46" s="2160"/>
    </row>
    <row r="47" spans="20:30" ht="15" customHeight="1">
      <c r="T47" s="1446"/>
      <c r="U47" s="2169" t="s">
        <v>1756</v>
      </c>
      <c r="V47" s="2160"/>
      <c r="W47" s="2165" t="e">
        <f ca="1">_xll.BDP($U47,W$41)</f>
        <v>#NAME?</v>
      </c>
      <c r="X47" s="2165" t="e">
        <f ca="1">_xll.BDP($U47,X$41)</f>
        <v>#NAME?</v>
      </c>
      <c r="Y47" s="2165" t="e">
        <f ca="1">_xll.BDP($U47,Y$41)</f>
        <v>#NAME?</v>
      </c>
      <c r="Z47" s="2165" t="e">
        <f ca="1">_xll.BDP($U47,Z$41)</f>
        <v>#NAME?</v>
      </c>
      <c r="AA47" s="2162" t="e">
        <f ca="1">_xll.BDP($U47,AA$41)</f>
        <v>#NAME?</v>
      </c>
      <c r="AB47" s="2163" t="e">
        <f ca="1">_xll.BDP($U47,AB$41)</f>
        <v>#NAME?</v>
      </c>
      <c r="AC47" s="2160"/>
      <c r="AD47" s="2160"/>
    </row>
    <row r="48" spans="20:30" ht="15" customHeight="1">
      <c r="T48" s="1446"/>
      <c r="U48" s="2169" t="s">
        <v>1755</v>
      </c>
      <c r="V48" s="2160"/>
      <c r="W48" s="2165" t="e">
        <f ca="1">_xll.BDP($U48,W$41)</f>
        <v>#NAME?</v>
      </c>
      <c r="X48" s="2165" t="e">
        <f ca="1">_xll.BDP($U48,X$41)</f>
        <v>#NAME?</v>
      </c>
      <c r="Y48" s="2165" t="e">
        <f ca="1">_xll.BDP($U48,Y$41)</f>
        <v>#NAME?</v>
      </c>
      <c r="Z48" s="2165" t="e">
        <f ca="1">_xll.BDP($U48,Z$41)</f>
        <v>#NAME?</v>
      </c>
      <c r="AA48" s="2162" t="e">
        <f ca="1">_xll.BDP($U48,AA$41)</f>
        <v>#NAME?</v>
      </c>
      <c r="AB48" s="2163" t="e">
        <f ca="1">_xll.BDP($U48,AB$41)</f>
        <v>#NAME?</v>
      </c>
      <c r="AC48" s="2160"/>
      <c r="AD48" s="2160"/>
    </row>
    <row r="49" spans="20:30" ht="15" customHeight="1">
      <c r="T49" s="1446"/>
      <c r="U49" s="2169" t="s">
        <v>1754</v>
      </c>
      <c r="V49" s="2160"/>
      <c r="W49" s="2165" t="e">
        <f ca="1">_xll.BDP($U49,W$41)</f>
        <v>#NAME?</v>
      </c>
      <c r="X49" s="2165" t="e">
        <f ca="1">_xll.BDP($U49,X$41)</f>
        <v>#NAME?</v>
      </c>
      <c r="Y49" s="2165" t="e">
        <f ca="1">_xll.BDP($U49,Y$41)</f>
        <v>#NAME?</v>
      </c>
      <c r="Z49" s="2165" t="e">
        <f ca="1">_xll.BDP($U49,Z$41)</f>
        <v>#NAME?</v>
      </c>
      <c r="AA49" s="2162" t="e">
        <f ca="1">_xll.BDP($U49,AA$41)</f>
        <v>#NAME?</v>
      </c>
      <c r="AB49" s="2163" t="e">
        <f ca="1">_xll.BDP($U49,AB$41)</f>
        <v>#NAME?</v>
      </c>
      <c r="AC49" s="2160"/>
      <c r="AD49" s="2160"/>
    </row>
    <row r="50" spans="20:30" ht="15" customHeight="1">
      <c r="T50" s="1446"/>
      <c r="U50" s="2169" t="s">
        <v>1753</v>
      </c>
      <c r="V50" s="2160"/>
      <c r="W50" s="2165" t="e">
        <f ca="1">_xll.BDP($U50,W$41)</f>
        <v>#NAME?</v>
      </c>
      <c r="X50" s="2165" t="e">
        <f ca="1">_xll.BDP($U50,X$41)</f>
        <v>#NAME?</v>
      </c>
      <c r="Y50" s="2165" t="e">
        <f ca="1">_xll.BDP($U50,Y$41)</f>
        <v>#NAME?</v>
      </c>
      <c r="Z50" s="2165" t="e">
        <f ca="1">_xll.BDP($U50,Z$41)</f>
        <v>#NAME?</v>
      </c>
      <c r="AA50" s="2162" t="e">
        <f ca="1">_xll.BDP($U50,AA$41)</f>
        <v>#NAME?</v>
      </c>
      <c r="AB50" s="2163" t="e">
        <f ca="1">_xll.BDP($U50,AB$41)</f>
        <v>#NAME?</v>
      </c>
      <c r="AC50" s="2160"/>
      <c r="AD50" s="2160"/>
    </row>
    <row r="51" spans="20:30" ht="15" customHeight="1">
      <c r="T51" s="1446"/>
      <c r="U51" s="2169" t="s">
        <v>1752</v>
      </c>
      <c r="V51" s="2160"/>
      <c r="W51" s="2165" t="e">
        <f ca="1">_xll.BDP($U51,W$41)</f>
        <v>#NAME?</v>
      </c>
      <c r="X51" s="2165" t="e">
        <f ca="1">_xll.BDP($U51,X$41)</f>
        <v>#NAME?</v>
      </c>
      <c r="Y51" s="2165" t="e">
        <f ca="1">_xll.BDP($U51,Y$41)</f>
        <v>#NAME?</v>
      </c>
      <c r="Z51" s="2165" t="e">
        <f ca="1">_xll.BDP($U51,Z$41)</f>
        <v>#NAME?</v>
      </c>
      <c r="AA51" s="2162" t="e">
        <f ca="1">_xll.BDP($U51,AA$41)</f>
        <v>#NAME?</v>
      </c>
      <c r="AB51" s="2163" t="e">
        <f ca="1">_xll.BDP($U51,AB$41)</f>
        <v>#NAME?</v>
      </c>
      <c r="AC51" s="2160"/>
      <c r="AD51" s="2160"/>
    </row>
    <row r="52" spans="20:30" ht="15" customHeight="1">
      <c r="T52" s="1446"/>
      <c r="U52" s="2169" t="s">
        <v>1751</v>
      </c>
      <c r="V52" s="2160"/>
      <c r="W52" s="2165" t="e">
        <f ca="1">_xll.BDP($U52,W$41)</f>
        <v>#NAME?</v>
      </c>
      <c r="X52" s="2165" t="e">
        <f ca="1">_xll.BDP($U52,X$41)</f>
        <v>#NAME?</v>
      </c>
      <c r="Y52" s="2165" t="e">
        <f ca="1">_xll.BDP($U52,Y$41)</f>
        <v>#NAME?</v>
      </c>
      <c r="Z52" s="2165" t="e">
        <f ca="1">_xll.BDP($U52,Z$41)</f>
        <v>#NAME?</v>
      </c>
      <c r="AA52" s="2162" t="e">
        <f ca="1">_xll.BDP($U52,AA$41)</f>
        <v>#NAME?</v>
      </c>
      <c r="AB52" s="2163" t="e">
        <f ca="1">_xll.BDP($U52,AB$41)</f>
        <v>#NAME?</v>
      </c>
      <c r="AC52" s="2160"/>
      <c r="AD52" s="2160"/>
    </row>
    <row r="53" spans="20:30" ht="15" customHeight="1">
      <c r="T53" s="1446"/>
      <c r="U53" s="2169"/>
      <c r="V53" s="2166"/>
      <c r="W53" s="2309" t="s">
        <v>1792</v>
      </c>
      <c r="X53" s="2166"/>
      <c r="Y53" s="2166"/>
      <c r="Z53" s="2160"/>
      <c r="AA53" s="2160"/>
      <c r="AB53" s="2160"/>
      <c r="AC53" s="2160"/>
      <c r="AD53" s="2160"/>
    </row>
    <row r="54" spans="20:30" ht="15" customHeight="1">
      <c r="T54" s="1446"/>
      <c r="U54" s="2169"/>
      <c r="V54" s="2160"/>
      <c r="W54" s="2309" t="s">
        <v>1818</v>
      </c>
      <c r="X54" s="2160"/>
      <c r="Y54" s="2160"/>
      <c r="Z54" s="2160"/>
      <c r="AA54" s="2160"/>
      <c r="AB54" s="2160"/>
      <c r="AC54" s="2160"/>
      <c r="AD54" s="2160"/>
    </row>
    <row r="55" spans="20:30" ht="15" customHeight="1">
      <c r="T55" s="1446"/>
      <c r="U55" s="2170"/>
      <c r="V55" s="2167"/>
      <c r="W55" s="2168"/>
      <c r="X55" s="2167"/>
      <c r="Y55" s="2167"/>
      <c r="Z55" s="2167"/>
      <c r="AA55" s="2167"/>
      <c r="AB55" s="2167"/>
      <c r="AC55" s="2167"/>
      <c r="AD55" s="2167"/>
    </row>
    <row r="104" spans="2:14" ht="21">
      <c r="B104" s="1209" t="s">
        <v>1113</v>
      </c>
      <c r="D104" s="1449"/>
      <c r="E104" s="1450"/>
    </row>
    <row r="105" spans="2:14" ht="15" customHeight="1">
      <c r="B105" s="1189" t="s">
        <v>538</v>
      </c>
    </row>
    <row r="106" spans="2:14" ht="15" customHeight="1">
      <c r="B106" s="1190" t="s">
        <v>30</v>
      </c>
    </row>
    <row r="108" spans="2:14" ht="15" customHeight="1">
      <c r="B108" s="1117" t="s">
        <v>1401</v>
      </c>
      <c r="N108" s="1117" t="s">
        <v>1418</v>
      </c>
    </row>
    <row r="109" spans="2:14" ht="15" customHeight="1">
      <c r="B109" s="1117" t="s">
        <v>1402</v>
      </c>
      <c r="N109" s="1117" t="s">
        <v>1421</v>
      </c>
    </row>
    <row r="137" spans="2:12" ht="15" customHeight="1">
      <c r="B137" s="1451" t="s">
        <v>1392</v>
      </c>
      <c r="C137" s="1200"/>
      <c r="D137" s="1243" t="s">
        <v>1391</v>
      </c>
      <c r="E137" s="1200"/>
      <c r="F137" s="1200"/>
      <c r="G137" s="1200"/>
      <c r="H137" s="1200"/>
      <c r="I137" s="1200"/>
      <c r="J137" s="1200"/>
      <c r="K137" s="1200"/>
      <c r="L137" s="1201"/>
    </row>
    <row r="138" spans="2:12" ht="15" customHeight="1">
      <c r="B138" s="1452"/>
      <c r="C138" s="1119"/>
      <c r="D138" s="1119"/>
      <c r="E138" s="1119"/>
      <c r="F138" s="1119"/>
      <c r="G138" s="1119"/>
      <c r="H138" s="1119"/>
      <c r="I138" s="1119"/>
      <c r="J138" s="1119"/>
      <c r="K138" s="1119"/>
      <c r="L138" s="1195"/>
    </row>
    <row r="139" spans="2:12" ht="15" customHeight="1">
      <c r="B139" s="1202" t="e">
        <f ca="1">_xll.BPGE(D137,)</f>
        <v>#NAME?</v>
      </c>
      <c r="C139" s="1119"/>
      <c r="D139" s="1119"/>
      <c r="E139" s="1119"/>
      <c r="F139" s="1119"/>
      <c r="G139" s="1119"/>
      <c r="H139" s="1119"/>
      <c r="I139" s="1119"/>
      <c r="J139" s="1119"/>
      <c r="K139" s="1119"/>
      <c r="L139" s="1195"/>
    </row>
    <row r="140" spans="2:12" ht="15" customHeight="1">
      <c r="B140" s="1202"/>
      <c r="C140" s="1119"/>
      <c r="D140" s="1119"/>
      <c r="E140" s="1119"/>
      <c r="F140" s="1119"/>
      <c r="G140" s="1119"/>
      <c r="H140" s="1119"/>
      <c r="I140" s="1119"/>
      <c r="J140" s="1119"/>
      <c r="K140" s="1119"/>
      <c r="L140" s="1195"/>
    </row>
    <row r="141" spans="2:12" ht="15" customHeight="1">
      <c r="B141" s="1202"/>
      <c r="C141" s="1119"/>
      <c r="D141" s="1119"/>
      <c r="E141" s="1119"/>
      <c r="F141" s="1119"/>
      <c r="G141" s="1119"/>
      <c r="H141" s="1119"/>
      <c r="I141" s="1119"/>
      <c r="J141" s="1119"/>
      <c r="K141" s="1119"/>
      <c r="L141" s="1195"/>
    </row>
    <row r="142" spans="2:12" ht="15" customHeight="1">
      <c r="B142" s="1202"/>
      <c r="C142" s="1119"/>
      <c r="D142" s="1119"/>
      <c r="E142" s="1119"/>
      <c r="F142" s="1119"/>
      <c r="G142" s="1119"/>
      <c r="H142" s="1119"/>
      <c r="I142" s="1119"/>
      <c r="J142" s="1119"/>
      <c r="K142" s="1119"/>
      <c r="L142" s="1195"/>
    </row>
    <row r="143" spans="2:12" ht="15" customHeight="1">
      <c r="B143" s="1202"/>
      <c r="C143" s="1119"/>
      <c r="D143" s="1119"/>
      <c r="E143" s="1119"/>
      <c r="F143" s="1119"/>
      <c r="G143" s="1119"/>
      <c r="H143" s="1119"/>
      <c r="I143" s="1119"/>
      <c r="J143" s="1119"/>
      <c r="K143" s="1119"/>
      <c r="L143" s="1195"/>
    </row>
    <row r="144" spans="2:12" ht="15" customHeight="1">
      <c r="B144" s="1202"/>
      <c r="C144" s="1119"/>
      <c r="D144" s="1119"/>
      <c r="E144" s="1119"/>
      <c r="F144" s="1119"/>
      <c r="G144" s="1119"/>
      <c r="H144" s="1119"/>
      <c r="I144" s="1119"/>
      <c r="J144" s="1119"/>
      <c r="K144" s="1119"/>
      <c r="L144" s="1195"/>
    </row>
    <row r="145" spans="2:12" ht="15" customHeight="1">
      <c r="B145" s="1202"/>
      <c r="C145" s="1119"/>
      <c r="D145" s="1119"/>
      <c r="E145" s="1119"/>
      <c r="F145" s="1119"/>
      <c r="G145" s="1119"/>
      <c r="H145" s="1119"/>
      <c r="I145" s="1119"/>
      <c r="J145" s="1119"/>
      <c r="K145" s="1119"/>
      <c r="L145" s="1195"/>
    </row>
    <row r="146" spans="2:12" ht="15" customHeight="1">
      <c r="B146" s="1202"/>
      <c r="C146" s="1119"/>
      <c r="D146" s="1119"/>
      <c r="E146" s="1119"/>
      <c r="F146" s="1119"/>
      <c r="G146" s="1119"/>
      <c r="H146" s="1119"/>
      <c r="I146" s="1119"/>
      <c r="J146" s="1119"/>
      <c r="K146" s="1119"/>
      <c r="L146" s="1195"/>
    </row>
    <row r="147" spans="2:12" ht="15" customHeight="1">
      <c r="B147" s="1202"/>
      <c r="C147" s="1119"/>
      <c r="D147" s="1119"/>
      <c r="E147" s="1119"/>
      <c r="F147" s="1119"/>
      <c r="G147" s="1119"/>
      <c r="H147" s="1119"/>
      <c r="I147" s="1119"/>
      <c r="J147" s="1119"/>
      <c r="K147" s="1119"/>
      <c r="L147" s="1195"/>
    </row>
    <row r="148" spans="2:12" ht="15" customHeight="1">
      <c r="B148" s="1202"/>
      <c r="C148" s="1119"/>
      <c r="D148" s="1119"/>
      <c r="E148" s="1119"/>
      <c r="F148" s="1119"/>
      <c r="G148" s="1119"/>
      <c r="H148" s="1119"/>
      <c r="I148" s="1119"/>
      <c r="J148" s="1119"/>
      <c r="K148" s="1119"/>
      <c r="L148" s="1195"/>
    </row>
    <row r="149" spans="2:12" ht="15" customHeight="1">
      <c r="B149" s="1202"/>
      <c r="C149" s="1119"/>
      <c r="D149" s="1119"/>
      <c r="E149" s="1119"/>
      <c r="F149" s="1119"/>
      <c r="G149" s="1119"/>
      <c r="H149" s="1119"/>
      <c r="I149" s="1119"/>
      <c r="J149" s="1119"/>
      <c r="K149" s="1119"/>
      <c r="L149" s="1195"/>
    </row>
    <row r="150" spans="2:12" ht="15" customHeight="1">
      <c r="B150" s="1202"/>
      <c r="C150" s="1119"/>
      <c r="D150" s="1119"/>
      <c r="E150" s="1119"/>
      <c r="F150" s="1119"/>
      <c r="G150" s="1119"/>
      <c r="H150" s="1119"/>
      <c r="I150" s="1119"/>
      <c r="J150" s="1119"/>
      <c r="K150" s="1119"/>
      <c r="L150" s="1195"/>
    </row>
    <row r="151" spans="2:12" ht="15" customHeight="1">
      <c r="B151" s="1202"/>
      <c r="C151" s="1119"/>
      <c r="D151" s="1119"/>
      <c r="E151" s="1119"/>
      <c r="F151" s="1119"/>
      <c r="G151" s="1119"/>
      <c r="H151" s="1119"/>
      <c r="I151" s="1119"/>
      <c r="J151" s="1119"/>
      <c r="K151" s="1119"/>
      <c r="L151" s="1195"/>
    </row>
    <row r="152" spans="2:12" ht="15" customHeight="1">
      <c r="B152" s="1202"/>
      <c r="C152" s="1119"/>
      <c r="D152" s="1119"/>
      <c r="E152" s="1119"/>
      <c r="F152" s="1119"/>
      <c r="G152" s="1119"/>
      <c r="H152" s="1119"/>
      <c r="I152" s="1119"/>
      <c r="J152" s="1119"/>
      <c r="K152" s="1119"/>
      <c r="L152" s="1195"/>
    </row>
    <row r="153" spans="2:12" ht="15" customHeight="1">
      <c r="B153" s="1202"/>
      <c r="C153" s="1119"/>
      <c r="D153" s="1119"/>
      <c r="E153" s="1119"/>
      <c r="F153" s="1119"/>
      <c r="G153" s="1119"/>
      <c r="H153" s="1119"/>
      <c r="I153" s="1119"/>
      <c r="J153" s="1119"/>
      <c r="K153" s="1119"/>
      <c r="L153" s="1195"/>
    </row>
    <row r="154" spans="2:12" ht="15" customHeight="1">
      <c r="B154" s="1202"/>
      <c r="C154" s="1119"/>
      <c r="D154" s="1119"/>
      <c r="E154" s="1119"/>
      <c r="F154" s="1119"/>
      <c r="G154" s="1119"/>
      <c r="H154" s="1119"/>
      <c r="I154" s="1119"/>
      <c r="J154" s="1119"/>
      <c r="K154" s="1119"/>
      <c r="L154" s="1195"/>
    </row>
    <row r="155" spans="2:12" ht="15" customHeight="1">
      <c r="B155" s="1202"/>
      <c r="C155" s="1119"/>
      <c r="D155" s="1119"/>
      <c r="E155" s="1119"/>
      <c r="F155" s="1119"/>
      <c r="G155" s="1119"/>
      <c r="H155" s="1119"/>
      <c r="I155" s="1119"/>
      <c r="J155" s="1119"/>
      <c r="K155" s="1119"/>
      <c r="L155" s="1195"/>
    </row>
    <row r="156" spans="2:12" ht="15" customHeight="1">
      <c r="B156" s="1202"/>
      <c r="C156" s="1119"/>
      <c r="D156" s="1119"/>
      <c r="E156" s="1119"/>
      <c r="F156" s="1119"/>
      <c r="G156" s="1119"/>
      <c r="H156" s="1119"/>
      <c r="I156" s="1119"/>
      <c r="J156" s="1119"/>
      <c r="K156" s="1119"/>
      <c r="L156" s="1195"/>
    </row>
    <row r="157" spans="2:12" ht="15" customHeight="1">
      <c r="B157" s="1202"/>
      <c r="C157" s="1119"/>
      <c r="D157" s="1119"/>
      <c r="E157" s="1119"/>
      <c r="F157" s="1119"/>
      <c r="G157" s="1119"/>
      <c r="H157" s="1119"/>
      <c r="I157" s="1119"/>
      <c r="J157" s="1119"/>
      <c r="K157" s="1119"/>
      <c r="L157" s="1195"/>
    </row>
    <row r="158" spans="2:12" ht="15" customHeight="1">
      <c r="B158" s="1202"/>
      <c r="C158" s="1119"/>
      <c r="D158" s="1119"/>
      <c r="E158" s="1119"/>
      <c r="F158" s="1119"/>
      <c r="G158" s="1119"/>
      <c r="H158" s="1119"/>
      <c r="I158" s="1119"/>
      <c r="J158" s="1119"/>
      <c r="K158" s="1119"/>
      <c r="L158" s="1195"/>
    </row>
    <row r="159" spans="2:12" ht="15" customHeight="1">
      <c r="B159" s="1202"/>
      <c r="C159" s="1119"/>
      <c r="D159" s="1119"/>
      <c r="E159" s="1119"/>
      <c r="F159" s="1119"/>
      <c r="G159" s="1119"/>
      <c r="H159" s="1119"/>
      <c r="I159" s="1119"/>
      <c r="J159" s="1119"/>
      <c r="K159" s="1119"/>
      <c r="L159" s="1195"/>
    </row>
    <row r="160" spans="2:12" ht="15" customHeight="1">
      <c r="B160" s="1202"/>
      <c r="C160" s="1119"/>
      <c r="D160" s="1119"/>
      <c r="E160" s="1119"/>
      <c r="F160" s="1119"/>
      <c r="G160" s="1119"/>
      <c r="H160" s="1119"/>
      <c r="I160" s="1119"/>
      <c r="J160" s="1119"/>
      <c r="K160" s="1119"/>
      <c r="L160" s="1195"/>
    </row>
    <row r="161" spans="2:17" ht="15" customHeight="1">
      <c r="B161" s="1213"/>
      <c r="C161" s="1204"/>
      <c r="D161" s="1204"/>
      <c r="E161" s="1204"/>
      <c r="F161" s="1204"/>
      <c r="G161" s="1204"/>
      <c r="H161" s="1204"/>
      <c r="I161" s="1204"/>
      <c r="J161" s="1204"/>
      <c r="K161" s="1204"/>
      <c r="L161" s="1265"/>
    </row>
    <row r="164" spans="2:17" ht="45.75" customHeight="1">
      <c r="B164" s="1453" t="s">
        <v>1716</v>
      </c>
      <c r="D164" s="1454"/>
    </row>
    <row r="165" spans="2:17" ht="15" customHeight="1">
      <c r="B165" s="1154" t="s">
        <v>534</v>
      </c>
      <c r="C165" s="1117" t="s">
        <v>524</v>
      </c>
      <c r="L165" s="1117" t="s">
        <v>1418</v>
      </c>
    </row>
    <row r="166" spans="2:17" ht="15" customHeight="1">
      <c r="C166" s="1117" t="s">
        <v>528</v>
      </c>
      <c r="L166" s="1117" t="s">
        <v>1419</v>
      </c>
    </row>
    <row r="167" spans="2:17" ht="15" customHeight="1">
      <c r="C167" s="1117" t="s">
        <v>527</v>
      </c>
      <c r="L167" s="1117" t="s">
        <v>1420</v>
      </c>
    </row>
    <row r="175" spans="2:17" ht="15" customHeight="1">
      <c r="N175" s="1142"/>
      <c r="O175" s="1142"/>
      <c r="P175" s="1142"/>
      <c r="Q175" s="1142"/>
    </row>
    <row r="176" spans="2:17" ht="15" customHeight="1">
      <c r="N176" s="1142"/>
      <c r="O176" s="1142"/>
      <c r="P176" s="1142"/>
      <c r="Q176" s="1142"/>
    </row>
    <row r="177" spans="2:17" ht="15" customHeight="1">
      <c r="N177" s="1142"/>
      <c r="O177" s="1455"/>
      <c r="P177" s="1142"/>
      <c r="Q177" s="1142"/>
    </row>
    <row r="178" spans="2:17" ht="15" customHeight="1">
      <c r="N178" s="1142"/>
      <c r="O178" s="1455"/>
      <c r="P178" s="1142"/>
      <c r="Q178" s="1142"/>
    </row>
    <row r="179" spans="2:17" ht="15" customHeight="1">
      <c r="N179" s="1142"/>
      <c r="O179" s="1455"/>
      <c r="P179" s="1142"/>
      <c r="Q179" s="1142"/>
    </row>
    <row r="180" spans="2:17" ht="15" customHeight="1">
      <c r="N180" s="1142"/>
      <c r="O180" s="1455"/>
      <c r="P180" s="1142"/>
      <c r="Q180" s="1142"/>
    </row>
    <row r="181" spans="2:17" ht="15" customHeight="1">
      <c r="N181" s="1142"/>
      <c r="O181" s="1456"/>
      <c r="P181" s="1142"/>
      <c r="Q181" s="1142"/>
    </row>
    <row r="182" spans="2:17" ht="15" customHeight="1">
      <c r="N182" s="1142"/>
      <c r="O182" s="1142"/>
      <c r="P182" s="1142"/>
      <c r="Q182" s="1142"/>
    </row>
    <row r="183" spans="2:17" ht="15" customHeight="1">
      <c r="N183" s="1142"/>
      <c r="O183" s="1142"/>
      <c r="P183" s="1142"/>
      <c r="Q183" s="1142"/>
    </row>
    <row r="188" spans="2:17" ht="15" customHeight="1">
      <c r="B188" s="1154" t="s">
        <v>533</v>
      </c>
      <c r="C188" s="1117" t="s">
        <v>550</v>
      </c>
      <c r="H188" s="1457" t="s">
        <v>549</v>
      </c>
      <c r="K188" s="1154" t="s">
        <v>532</v>
      </c>
      <c r="L188" s="1117" t="s">
        <v>530</v>
      </c>
    </row>
    <row r="189" spans="2:17" ht="15" customHeight="1">
      <c r="C189" s="1117" t="s">
        <v>1114</v>
      </c>
      <c r="L189" s="1117" t="s">
        <v>1403</v>
      </c>
    </row>
    <row r="190" spans="2:17" ht="15" customHeight="1">
      <c r="C190" s="1117" t="s">
        <v>529</v>
      </c>
      <c r="L190" s="1117" t="s">
        <v>201</v>
      </c>
    </row>
    <row r="191" spans="2:17" ht="15" customHeight="1">
      <c r="H191" s="1458"/>
      <c r="L191" s="1117" t="s">
        <v>202</v>
      </c>
    </row>
    <row r="192" spans="2:17" ht="15" customHeight="1">
      <c r="B192" s="1211"/>
      <c r="C192" s="1200"/>
      <c r="D192" s="1200"/>
      <c r="E192" s="1200"/>
      <c r="F192" s="1201"/>
      <c r="K192" s="1459"/>
      <c r="L192" s="1459"/>
    </row>
    <row r="193" spans="2:17" ht="15" customHeight="1">
      <c r="B193" s="1452" t="s">
        <v>866</v>
      </c>
      <c r="C193" s="1118"/>
      <c r="D193" s="1262" t="s">
        <v>525</v>
      </c>
      <c r="E193" s="1118"/>
      <c r="F193" s="1195"/>
      <c r="K193" s="1272" t="s">
        <v>531</v>
      </c>
      <c r="L193" s="1272" t="s">
        <v>871</v>
      </c>
      <c r="M193" s="1459"/>
    </row>
    <row r="194" spans="2:17" ht="15" customHeight="1">
      <c r="B194" s="1293" t="s">
        <v>548</v>
      </c>
      <c r="C194" s="1196"/>
      <c r="D194" s="1196"/>
      <c r="E194" s="1196"/>
      <c r="F194" s="1265"/>
      <c r="K194" s="1272"/>
      <c r="L194" s="1272" t="s">
        <v>203</v>
      </c>
      <c r="M194" s="1459"/>
    </row>
    <row r="195" spans="2:17" s="1154" customFormat="1" ht="15" customHeight="1">
      <c r="B195" s="1118"/>
      <c r="C195" s="1118"/>
      <c r="D195" s="1118"/>
      <c r="E195" s="1118"/>
      <c r="F195" s="1118"/>
      <c r="K195" s="1272"/>
      <c r="L195" s="1272" t="s">
        <v>870</v>
      </c>
      <c r="M195" s="1459"/>
    </row>
    <row r="196" spans="2:17" ht="15" customHeight="1">
      <c r="B196" s="1202" t="e">
        <f ca="1">_xll.BPGE(D193,)</f>
        <v>#NAME?</v>
      </c>
      <c r="C196" s="1119"/>
      <c r="D196" s="1119"/>
      <c r="E196" s="1119"/>
      <c r="F196" s="1119"/>
      <c r="G196" s="1200"/>
      <c r="H196" s="1200"/>
      <c r="I196" s="1201"/>
      <c r="J196" s="1211"/>
      <c r="K196" s="1200"/>
      <c r="L196" s="1200"/>
      <c r="M196" s="1200"/>
      <c r="N196" s="1200"/>
      <c r="O196" s="1200"/>
      <c r="P196" s="1200"/>
      <c r="Q196" s="1201"/>
    </row>
    <row r="197" spans="2:17" ht="15" customHeight="1">
      <c r="B197" s="1202"/>
      <c r="C197" s="1119"/>
      <c r="D197" s="1119"/>
      <c r="E197" s="1119"/>
      <c r="F197" s="1119"/>
      <c r="G197" s="1119"/>
      <c r="H197" s="1119"/>
      <c r="I197" s="1195"/>
      <c r="J197" s="1202"/>
      <c r="K197" s="1119"/>
      <c r="L197" s="1119"/>
      <c r="M197" s="1119"/>
      <c r="N197" s="1119"/>
      <c r="O197" s="1119"/>
      <c r="P197" s="1119"/>
      <c r="Q197" s="1195"/>
    </row>
    <row r="198" spans="2:17" ht="15" customHeight="1">
      <c r="B198" s="1279"/>
      <c r="C198" s="1118"/>
      <c r="D198" s="1118"/>
      <c r="E198" s="1118"/>
      <c r="F198" s="1118"/>
      <c r="G198" s="1118"/>
      <c r="H198" s="1118"/>
      <c r="I198" s="1294"/>
      <c r="J198" s="1460" t="s">
        <v>701</v>
      </c>
      <c r="K198" s="1398"/>
      <c r="L198" s="1398" t="s">
        <v>700</v>
      </c>
      <c r="M198" s="1398"/>
      <c r="N198" s="1119"/>
      <c r="O198" s="1119"/>
      <c r="P198" s="1119"/>
      <c r="Q198" s="1195"/>
    </row>
    <row r="199" spans="2:17" ht="15" customHeight="1">
      <c r="B199" s="1279"/>
      <c r="C199" s="1118"/>
      <c r="D199" s="1118"/>
      <c r="E199" s="1118"/>
      <c r="F199" s="1118"/>
      <c r="G199" s="1118"/>
      <c r="H199" s="1118"/>
      <c r="I199" s="1294"/>
      <c r="J199" s="1202"/>
      <c r="K199" s="1119"/>
      <c r="L199" s="1119"/>
      <c r="M199" s="1119"/>
      <c r="N199" s="1119"/>
      <c r="O199" s="1119"/>
      <c r="P199" s="1119"/>
      <c r="Q199" s="1195"/>
    </row>
    <row r="200" spans="2:17" ht="15" customHeight="1">
      <c r="B200" s="1279"/>
      <c r="C200" s="1118"/>
      <c r="D200" s="1118"/>
      <c r="E200" s="1118"/>
      <c r="F200" s="1118"/>
      <c r="G200" s="1118"/>
      <c r="H200" s="1118"/>
      <c r="I200" s="1294"/>
      <c r="J200" s="1202"/>
      <c r="K200" s="1119"/>
      <c r="L200" s="1119"/>
      <c r="M200" s="1119"/>
      <c r="N200" s="1119"/>
      <c r="O200" s="1119"/>
      <c r="P200" s="1119"/>
      <c r="Q200" s="1195"/>
    </row>
    <row r="201" spans="2:17" ht="15" customHeight="1">
      <c r="B201" s="1279"/>
      <c r="C201" s="1118"/>
      <c r="D201" s="1118"/>
      <c r="E201" s="1118"/>
      <c r="F201" s="1118"/>
      <c r="G201" s="1118"/>
      <c r="H201" s="1118"/>
      <c r="I201" s="1294"/>
      <c r="J201" s="1202"/>
      <c r="K201" s="1461" t="str">
        <f>MID(B201,12,4)</f>
        <v/>
      </c>
      <c r="L201" s="1461" t="str">
        <f>MID(B201,22,4)</f>
        <v/>
      </c>
      <c r="M201" s="1119"/>
      <c r="N201" s="1119"/>
      <c r="O201" s="1119"/>
      <c r="P201" s="1119"/>
      <c r="Q201" s="1195"/>
    </row>
    <row r="202" spans="2:17" ht="15" customHeight="1">
      <c r="B202" s="1279"/>
      <c r="C202" s="1118"/>
      <c r="D202" s="1118"/>
      <c r="E202" s="1118"/>
      <c r="F202" s="1118"/>
      <c r="G202" s="1118"/>
      <c r="H202" s="1118"/>
      <c r="I202" s="1294"/>
      <c r="J202" s="1279"/>
      <c r="K202" s="1118"/>
      <c r="L202" s="1118"/>
      <c r="M202" s="1119"/>
      <c r="N202" s="1119"/>
      <c r="O202" s="1119"/>
      <c r="P202" s="1119"/>
      <c r="Q202" s="1195"/>
    </row>
    <row r="203" spans="2:17" ht="15" customHeight="1">
      <c r="B203" s="1279"/>
      <c r="C203" s="1118"/>
      <c r="D203" s="1118"/>
      <c r="E203" s="1118"/>
      <c r="F203" s="1118"/>
      <c r="G203" s="1118"/>
      <c r="H203" s="1118"/>
      <c r="I203" s="1294"/>
      <c r="J203" s="1279"/>
      <c r="K203" s="1118"/>
      <c r="L203" s="1118"/>
      <c r="M203" s="1119"/>
      <c r="N203" s="1119"/>
      <c r="O203" s="1119"/>
      <c r="P203" s="1119"/>
      <c r="Q203" s="1195"/>
    </row>
    <row r="204" spans="2:17" ht="15" customHeight="1">
      <c r="B204" s="1279"/>
      <c r="C204" s="1118"/>
      <c r="D204" s="1118"/>
      <c r="E204" s="1118"/>
      <c r="F204" s="1118"/>
      <c r="G204" s="1118"/>
      <c r="H204" s="1118"/>
      <c r="I204" s="1294"/>
      <c r="J204" s="1279"/>
      <c r="K204" s="1118"/>
      <c r="L204" s="1118"/>
      <c r="M204" s="1119"/>
      <c r="N204" s="1119"/>
      <c r="O204" s="1119"/>
      <c r="P204" s="1119"/>
      <c r="Q204" s="1195"/>
    </row>
    <row r="205" spans="2:17" ht="15" customHeight="1">
      <c r="B205" s="1279"/>
      <c r="C205" s="1118"/>
      <c r="D205" s="1118"/>
      <c r="E205" s="1118"/>
      <c r="F205" s="1118"/>
      <c r="G205" s="1118"/>
      <c r="H205" s="1118"/>
      <c r="I205" s="1294"/>
      <c r="J205" s="1279"/>
      <c r="K205" s="1118"/>
      <c r="L205" s="1118"/>
      <c r="M205" s="1119"/>
      <c r="N205" s="1119"/>
      <c r="O205" s="1119"/>
      <c r="P205" s="1119"/>
      <c r="Q205" s="1195"/>
    </row>
    <row r="206" spans="2:17" ht="15" customHeight="1">
      <c r="B206" s="1279"/>
      <c r="C206" s="1118"/>
      <c r="D206" s="1118"/>
      <c r="E206" s="1118"/>
      <c r="F206" s="1118"/>
      <c r="G206" s="1118"/>
      <c r="H206" s="1118"/>
      <c r="I206" s="1294"/>
      <c r="J206" s="1279"/>
      <c r="K206" s="1118"/>
      <c r="L206" s="1118"/>
      <c r="M206" s="1119"/>
      <c r="N206" s="1119"/>
      <c r="O206" s="1119"/>
      <c r="P206" s="1119"/>
      <c r="Q206" s="1195"/>
    </row>
    <row r="207" spans="2:17" ht="15" customHeight="1">
      <c r="B207" s="1279"/>
      <c r="C207" s="1118"/>
      <c r="D207" s="1118"/>
      <c r="E207" s="1118"/>
      <c r="F207" s="1118"/>
      <c r="G207" s="1118"/>
      <c r="H207" s="1118"/>
      <c r="I207" s="1294"/>
      <c r="J207" s="1279"/>
      <c r="K207" s="1118"/>
      <c r="L207" s="1118"/>
      <c r="M207" s="1119"/>
      <c r="N207" s="1119"/>
      <c r="O207" s="1119"/>
      <c r="P207" s="1119"/>
      <c r="Q207" s="1195"/>
    </row>
    <row r="208" spans="2:17" ht="15" customHeight="1">
      <c r="B208" s="1279"/>
      <c r="C208" s="1118"/>
      <c r="D208" s="1118"/>
      <c r="E208" s="1118"/>
      <c r="F208" s="1118"/>
      <c r="G208" s="1118"/>
      <c r="H208" s="1118"/>
      <c r="I208" s="1294"/>
      <c r="J208" s="1279"/>
      <c r="K208" s="1118"/>
      <c r="L208" s="1118"/>
      <c r="M208" s="1119"/>
      <c r="N208" s="1119" t="s">
        <v>526</v>
      </c>
      <c r="O208" s="1119"/>
      <c r="P208" s="1119"/>
      <c r="Q208" s="1195"/>
    </row>
    <row r="209" spans="2:17" ht="15" customHeight="1">
      <c r="B209" s="1279"/>
      <c r="C209" s="1118"/>
      <c r="D209" s="1118"/>
      <c r="E209" s="1118"/>
      <c r="F209" s="1118"/>
      <c r="G209" s="1118"/>
      <c r="H209" s="1118"/>
      <c r="I209" s="1294"/>
      <c r="J209" s="1279"/>
      <c r="K209" s="1118"/>
      <c r="L209" s="1118"/>
      <c r="M209" s="1119"/>
      <c r="N209" s="1119"/>
      <c r="O209" s="1119"/>
      <c r="P209" s="1119"/>
      <c r="Q209" s="1195"/>
    </row>
    <row r="210" spans="2:17" ht="15" customHeight="1">
      <c r="B210" s="1279"/>
      <c r="C210" s="1118"/>
      <c r="D210" s="1118"/>
      <c r="E210" s="1118"/>
      <c r="F210" s="1118"/>
      <c r="G210" s="1118"/>
      <c r="H210" s="1118"/>
      <c r="I210" s="1294"/>
      <c r="J210" s="1279"/>
      <c r="K210" s="1118"/>
      <c r="L210" s="1118"/>
      <c r="M210" s="1119"/>
      <c r="N210" s="1119"/>
      <c r="O210" s="1119"/>
      <c r="P210" s="1119"/>
      <c r="Q210" s="1195"/>
    </row>
    <row r="211" spans="2:17" ht="15" customHeight="1">
      <c r="B211" s="1279"/>
      <c r="C211" s="1118"/>
      <c r="D211" s="1118"/>
      <c r="E211" s="1118"/>
      <c r="F211" s="1118"/>
      <c r="G211" s="1118"/>
      <c r="H211" s="1118"/>
      <c r="I211" s="1294"/>
      <c r="J211" s="1279"/>
      <c r="K211" s="1118"/>
      <c r="L211" s="1118"/>
      <c r="M211" s="1119"/>
      <c r="N211" s="1119"/>
      <c r="O211" s="1119"/>
      <c r="P211" s="1119"/>
      <c r="Q211" s="1195"/>
    </row>
    <row r="212" spans="2:17" ht="15" customHeight="1">
      <c r="B212" s="1279"/>
      <c r="C212" s="1118"/>
      <c r="D212" s="1118"/>
      <c r="E212" s="1118"/>
      <c r="F212" s="1118"/>
      <c r="G212" s="1118"/>
      <c r="H212" s="1118"/>
      <c r="I212" s="1294"/>
      <c r="J212" s="1279"/>
      <c r="K212" s="1118"/>
      <c r="L212" s="1118"/>
      <c r="M212" s="1119"/>
      <c r="N212" s="1119"/>
      <c r="O212" s="1119"/>
      <c r="P212" s="1119"/>
      <c r="Q212" s="1195"/>
    </row>
    <row r="213" spans="2:17" ht="15" customHeight="1">
      <c r="B213" s="1279"/>
      <c r="C213" s="1118"/>
      <c r="D213" s="1118"/>
      <c r="E213" s="1118"/>
      <c r="F213" s="1118"/>
      <c r="G213" s="1118"/>
      <c r="H213" s="1118"/>
      <c r="I213" s="1294"/>
      <c r="J213" s="1279"/>
      <c r="K213" s="1118"/>
      <c r="L213" s="1118"/>
      <c r="M213" s="1119"/>
      <c r="N213" s="1119"/>
      <c r="O213" s="1119"/>
      <c r="P213" s="1119"/>
      <c r="Q213" s="1195"/>
    </row>
    <row r="214" spans="2:17" ht="15" customHeight="1">
      <c r="B214" s="1279"/>
      <c r="C214" s="1118"/>
      <c r="D214" s="1118"/>
      <c r="E214" s="1118"/>
      <c r="F214" s="1118"/>
      <c r="G214" s="1118"/>
      <c r="H214" s="1118"/>
      <c r="I214" s="1294"/>
      <c r="J214" s="1279"/>
      <c r="K214" s="1118"/>
      <c r="L214" s="1118"/>
      <c r="M214" s="1119"/>
      <c r="N214" s="1119"/>
      <c r="O214" s="1119"/>
      <c r="P214" s="1119"/>
      <c r="Q214" s="1195"/>
    </row>
    <row r="215" spans="2:17" ht="15" customHeight="1">
      <c r="B215" s="1279"/>
      <c r="C215" s="1118"/>
      <c r="D215" s="1118"/>
      <c r="E215" s="1118"/>
      <c r="F215" s="1118"/>
      <c r="G215" s="1118"/>
      <c r="H215" s="1118"/>
      <c r="I215" s="1294"/>
      <c r="J215" s="1279"/>
      <c r="K215" s="1118"/>
      <c r="L215" s="1118"/>
      <c r="M215" s="1119"/>
      <c r="N215" s="1119"/>
      <c r="O215" s="1119"/>
      <c r="P215" s="1119"/>
      <c r="Q215" s="1195"/>
    </row>
    <row r="216" spans="2:17" ht="15" customHeight="1">
      <c r="B216" s="1279"/>
      <c r="C216" s="1118"/>
      <c r="D216" s="1118"/>
      <c r="E216" s="1118"/>
      <c r="F216" s="1118"/>
      <c r="G216" s="1118"/>
      <c r="H216" s="1118"/>
      <c r="I216" s="1294"/>
      <c r="J216" s="1279"/>
      <c r="K216" s="1118"/>
      <c r="L216" s="1118"/>
      <c r="M216" s="1119"/>
      <c r="N216" s="1119"/>
      <c r="O216" s="1119"/>
      <c r="P216" s="1119"/>
      <c r="Q216" s="1195"/>
    </row>
    <row r="217" spans="2:17" ht="15" customHeight="1">
      <c r="B217" s="1279"/>
      <c r="C217" s="1118"/>
      <c r="D217" s="1118"/>
      <c r="E217" s="1118"/>
      <c r="F217" s="1118"/>
      <c r="G217" s="1118"/>
      <c r="H217" s="1118"/>
      <c r="I217" s="1294"/>
      <c r="J217" s="1279"/>
      <c r="K217" s="1118"/>
      <c r="L217" s="1118"/>
      <c r="M217" s="1119"/>
      <c r="N217" s="1119"/>
      <c r="O217" s="1119"/>
      <c r="P217" s="1119"/>
      <c r="Q217" s="1195"/>
    </row>
    <row r="218" spans="2:17" ht="15" customHeight="1">
      <c r="B218" s="1213"/>
      <c r="C218" s="1204"/>
      <c r="D218" s="1204"/>
      <c r="E218" s="1204"/>
      <c r="F218" s="1204"/>
      <c r="G218" s="1204"/>
      <c r="H218" s="1204"/>
      <c r="I218" s="1265"/>
      <c r="J218" s="1213"/>
      <c r="K218" s="1204"/>
      <c r="L218" s="1204"/>
      <c r="M218" s="1204"/>
      <c r="N218" s="1204"/>
      <c r="O218" s="1204"/>
      <c r="P218" s="1204"/>
      <c r="Q218" s="1265"/>
    </row>
    <row r="220" spans="2:17" ht="15" customHeight="1">
      <c r="B220" s="1211" t="s">
        <v>368</v>
      </c>
      <c r="C220" s="1200"/>
      <c r="D220" s="1200"/>
      <c r="E220" s="1200"/>
      <c r="F220" s="1200"/>
      <c r="G220" s="1200"/>
      <c r="H220" s="1201"/>
      <c r="I220" s="1200"/>
      <c r="J220" s="1200"/>
      <c r="K220" s="1200"/>
      <c r="L220" s="1200"/>
      <c r="M220" s="1200"/>
      <c r="N220" s="1200"/>
      <c r="O220" s="1200"/>
      <c r="P220" s="1200"/>
      <c r="Q220" s="1201"/>
    </row>
    <row r="221" spans="2:17" ht="15" customHeight="1">
      <c r="B221" s="1202" t="s">
        <v>369</v>
      </c>
      <c r="C221" s="1119"/>
      <c r="D221" s="1119"/>
      <c r="E221" s="1119"/>
      <c r="F221" s="1119"/>
      <c r="G221" s="1119"/>
      <c r="H221" s="1195"/>
      <c r="I221" s="1119"/>
      <c r="J221" s="1119"/>
      <c r="K221" s="1119"/>
      <c r="L221" s="1119"/>
      <c r="M221" s="1119"/>
      <c r="N221" s="1119"/>
      <c r="O221" s="1119"/>
      <c r="P221" s="1119"/>
      <c r="Q221" s="1195"/>
    </row>
    <row r="222" spans="2:17" ht="15" customHeight="1">
      <c r="B222" s="1202"/>
      <c r="C222" s="1119"/>
      <c r="D222" s="1119"/>
      <c r="E222" s="1119"/>
      <c r="F222" s="1119"/>
      <c r="G222" s="1119"/>
      <c r="H222" s="1195"/>
      <c r="I222" s="1119"/>
      <c r="J222" s="1398" t="s">
        <v>383</v>
      </c>
      <c r="K222" s="1119"/>
      <c r="L222" s="1398" t="s">
        <v>384</v>
      </c>
      <c r="N222" s="1398" t="s">
        <v>385</v>
      </c>
      <c r="O222" s="1119"/>
      <c r="P222" s="1119"/>
      <c r="Q222" s="1195"/>
    </row>
    <row r="223" spans="2:17" ht="15" customHeight="1">
      <c r="B223" s="1462" t="s">
        <v>374</v>
      </c>
      <c r="C223" s="1119"/>
      <c r="D223" s="1262" t="s">
        <v>525</v>
      </c>
      <c r="E223" s="1119"/>
      <c r="F223" s="1119" t="s">
        <v>375</v>
      </c>
      <c r="G223" s="1119"/>
      <c r="H223" s="1195"/>
      <c r="I223" s="1119"/>
      <c r="O223" s="1119"/>
      <c r="P223" s="1119"/>
      <c r="Q223" s="1195"/>
    </row>
    <row r="224" spans="2:17" ht="15" customHeight="1">
      <c r="B224" s="1202"/>
      <c r="C224" s="1119"/>
      <c r="D224" s="1119"/>
      <c r="E224" s="1119"/>
      <c r="F224" s="1119"/>
      <c r="G224" s="1119"/>
      <c r="H224" s="1195"/>
      <c r="I224" s="1119"/>
      <c r="J224" s="1463"/>
      <c r="K224" s="1464"/>
      <c r="L224" s="1464"/>
      <c r="M224" s="1464"/>
      <c r="N224" s="1464"/>
      <c r="O224" s="1464"/>
      <c r="P224" s="1465"/>
      <c r="Q224" s="1195"/>
    </row>
    <row r="225" spans="2:18" ht="15" customHeight="1">
      <c r="B225" s="1202" t="e">
        <f ca="1">_xll.BPGE(D223,6)</f>
        <v>#NAME?</v>
      </c>
      <c r="C225" s="1119"/>
      <c r="D225" s="1119"/>
      <c r="E225" s="1119"/>
      <c r="F225" s="1119"/>
      <c r="G225" s="1119"/>
      <c r="H225" s="1195"/>
      <c r="I225" s="1119"/>
      <c r="J225" s="1466"/>
      <c r="K225" s="1467" t="e">
        <f ca="1">MID(B225,11,6)</f>
        <v>#NAME?</v>
      </c>
      <c r="L225" s="1468"/>
      <c r="M225" s="1467" t="e">
        <f ca="1">TRIM(K225)</f>
        <v>#NAME?</v>
      </c>
      <c r="N225" s="1468"/>
      <c r="O225" s="1469" t="e">
        <f ca="1">VALUE(M225)</f>
        <v>#NAME?</v>
      </c>
      <c r="P225" s="1470"/>
      <c r="Q225" s="1195"/>
      <c r="R225" s="1119"/>
    </row>
    <row r="226" spans="2:18" ht="15" customHeight="1">
      <c r="B226" s="1213"/>
      <c r="C226" s="1204"/>
      <c r="D226" s="1204"/>
      <c r="E226" s="1204"/>
      <c r="F226" s="1204"/>
      <c r="G226" s="1204"/>
      <c r="H226" s="1265"/>
      <c r="I226" s="1204"/>
      <c r="J226" s="1471"/>
      <c r="K226" s="1472"/>
      <c r="L226" s="1472"/>
      <c r="M226" s="1472"/>
      <c r="N226" s="1472"/>
      <c r="O226" s="1472"/>
      <c r="P226" s="1473"/>
      <c r="Q226" s="1265"/>
      <c r="R226" s="1119"/>
    </row>
    <row r="228" spans="2:18" ht="15" customHeight="1">
      <c r="J228" s="1117" t="s">
        <v>370</v>
      </c>
      <c r="K228" s="1117" t="s">
        <v>376</v>
      </c>
    </row>
    <row r="229" spans="2:18" ht="15" customHeight="1">
      <c r="K229" s="1117" t="s">
        <v>373</v>
      </c>
    </row>
    <row r="231" spans="2:18" ht="15" customHeight="1">
      <c r="J231" s="1474" t="s">
        <v>371</v>
      </c>
      <c r="K231" s="1474" t="s">
        <v>386</v>
      </c>
    </row>
    <row r="233" spans="2:18" ht="15" customHeight="1">
      <c r="J233" s="1117" t="s">
        <v>372</v>
      </c>
      <c r="K233" s="1117" t="s">
        <v>1343</v>
      </c>
    </row>
    <row r="234" spans="2:18" ht="15" customHeight="1">
      <c r="K234" s="1117" t="s">
        <v>1344</v>
      </c>
    </row>
    <row r="236" spans="2:18" ht="15" customHeight="1">
      <c r="J236" s="1474" t="s">
        <v>371</v>
      </c>
      <c r="K236" s="1474" t="s">
        <v>379</v>
      </c>
    </row>
    <row r="237" spans="2:18" ht="15" customHeight="1">
      <c r="J237" s="1474"/>
      <c r="K237" s="1474" t="s">
        <v>378</v>
      </c>
    </row>
    <row r="239" spans="2:18" ht="15" customHeight="1">
      <c r="J239" s="1117" t="s">
        <v>377</v>
      </c>
      <c r="K239" s="1117" t="s">
        <v>380</v>
      </c>
    </row>
    <row r="240" spans="2:18" ht="15" customHeight="1">
      <c r="K240" s="1475" t="s">
        <v>1345</v>
      </c>
    </row>
    <row r="242" spans="10:11" ht="15" customHeight="1">
      <c r="J242" s="1474" t="s">
        <v>371</v>
      </c>
      <c r="K242" s="1474" t="s">
        <v>381</v>
      </c>
    </row>
    <row r="243" spans="10:11" ht="15" customHeight="1">
      <c r="J243" s="1474"/>
      <c r="K243" s="1474" t="s">
        <v>382</v>
      </c>
    </row>
    <row r="244" spans="10:11" ht="15" customHeight="1">
      <c r="J244" s="1474"/>
      <c r="K244" s="1474"/>
    </row>
  </sheetData>
  <phoneticPr fontId="0" type="noConversion"/>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FFFF00"/>
    <pageSetUpPr fitToPage="1"/>
  </sheetPr>
  <dimension ref="A1:AP562"/>
  <sheetViews>
    <sheetView zoomScale="90" zoomScaleNormal="90" workbookViewId="0">
      <selection activeCell="C206" sqref="C206"/>
    </sheetView>
  </sheetViews>
  <sheetFormatPr baseColWidth="10" defaultColWidth="9.140625" defaultRowHeight="15"/>
  <cols>
    <col min="1" max="1" width="3.7109375" style="1444" customWidth="1"/>
    <col min="2" max="2" width="22.7109375" style="1444" customWidth="1"/>
    <col min="3" max="3" width="19.5703125" style="1444" customWidth="1"/>
    <col min="4" max="4" width="15.42578125" style="1444" customWidth="1"/>
    <col min="5" max="5" width="15.85546875" style="1444" customWidth="1"/>
    <col min="6" max="6" width="16.140625" style="1444" customWidth="1"/>
    <col min="7" max="7" width="14.85546875" style="1444" customWidth="1"/>
    <col min="8" max="8" width="15.7109375" style="1444" customWidth="1"/>
    <col min="9" max="9" width="21.42578125" style="1444" customWidth="1"/>
    <col min="10" max="10" width="19.5703125" style="1444" customWidth="1"/>
    <col min="11" max="11" width="12.28515625" style="1444" customWidth="1"/>
    <col min="12" max="17" width="9.140625" style="1444"/>
    <col min="18" max="18" width="10.7109375" style="1444" bestFit="1" customWidth="1"/>
    <col min="19" max="16384" width="9.140625" style="1444"/>
  </cols>
  <sheetData>
    <row r="1" spans="1:16" ht="17.25" customHeight="1">
      <c r="A1" s="1476"/>
    </row>
    <row r="2" spans="1:16" ht="18" customHeight="1">
      <c r="B2" s="1477"/>
    </row>
    <row r="4" spans="1:16">
      <c r="B4" s="1478"/>
    </row>
    <row r="5" spans="1:16" ht="21">
      <c r="B5" s="1186" t="s">
        <v>792</v>
      </c>
    </row>
    <row r="6" spans="1:16" ht="15.75">
      <c r="B6" s="1188" t="s">
        <v>1043</v>
      </c>
    </row>
    <row r="7" spans="1:16">
      <c r="B7" s="1479" t="s">
        <v>22</v>
      </c>
    </row>
    <row r="8" spans="1:16">
      <c r="B8" s="1478"/>
    </row>
    <row r="9" spans="1:16">
      <c r="A9" s="1492"/>
      <c r="B9" s="468" t="s">
        <v>1044</v>
      </c>
      <c r="C9" s="469"/>
      <c r="D9" s="469"/>
      <c r="E9" s="470"/>
      <c r="F9" s="1493"/>
      <c r="G9" s="468" t="s">
        <v>1045</v>
      </c>
      <c r="H9" s="469"/>
      <c r="I9" s="469"/>
      <c r="J9" s="470"/>
      <c r="K9" s="1428"/>
      <c r="M9" s="1177"/>
      <c r="N9" s="1177"/>
      <c r="O9" s="1177"/>
      <c r="P9" s="1428"/>
    </row>
    <row r="10" spans="1:16">
      <c r="A10" s="1492"/>
      <c r="B10" s="472"/>
      <c r="C10" s="473"/>
      <c r="D10" s="473"/>
      <c r="E10" s="474"/>
      <c r="F10" s="1428"/>
      <c r="G10" s="472"/>
      <c r="H10" s="473"/>
      <c r="I10" s="473"/>
      <c r="J10" s="474"/>
      <c r="K10" s="1428"/>
      <c r="L10" s="1177" t="s">
        <v>526</v>
      </c>
      <c r="M10" s="1177"/>
      <c r="N10" s="1177"/>
      <c r="O10" s="1177"/>
      <c r="P10" s="1428"/>
    </row>
    <row r="11" spans="1:16">
      <c r="B11" s="472"/>
      <c r="C11" s="1517" t="s">
        <v>1398</v>
      </c>
      <c r="D11" s="1371" t="e">
        <f ca="1">_xll.BToday()-7</f>
        <v>#NAME?</v>
      </c>
      <c r="E11" s="1371" t="e">
        <f ca="1">_xll.BToday()</f>
        <v>#NAME?</v>
      </c>
      <c r="G11" s="472"/>
      <c r="H11" s="473"/>
      <c r="I11" s="1371" t="e">
        <f ca="1">_xll.BToday()-7</f>
        <v>#NAME?</v>
      </c>
      <c r="J11" s="1372" t="s">
        <v>478</v>
      </c>
      <c r="K11" s="1428"/>
      <c r="L11" s="1177"/>
      <c r="M11" s="1177"/>
      <c r="N11" s="1177"/>
      <c r="O11" s="1177"/>
      <c r="P11" s="1428"/>
    </row>
    <row r="12" spans="1:16">
      <c r="B12" s="472"/>
      <c r="C12" s="475"/>
      <c r="D12" s="476"/>
      <c r="E12" s="477"/>
      <c r="G12" s="581" t="s">
        <v>818</v>
      </c>
      <c r="H12" s="473"/>
      <c r="I12" s="475"/>
      <c r="J12" s="490"/>
      <c r="K12" s="1428"/>
      <c r="L12" s="1177" t="s">
        <v>1519</v>
      </c>
      <c r="M12" s="1177"/>
      <c r="N12" s="1177"/>
      <c r="O12" s="1177"/>
      <c r="P12" s="1428"/>
    </row>
    <row r="13" spans="1:16">
      <c r="B13" s="581" t="s">
        <v>865</v>
      </c>
      <c r="C13" s="475"/>
      <c r="D13" s="1372" t="s">
        <v>426</v>
      </c>
      <c r="E13" s="1372" t="s">
        <v>470</v>
      </c>
      <c r="G13" s="478" t="s">
        <v>1091</v>
      </c>
      <c r="H13" s="473"/>
      <c r="I13" s="479" t="s">
        <v>1115</v>
      </c>
      <c r="J13" s="480" t="e">
        <f ca="1">_xll.BDH(I13,$J$11,$I$11,$I$11)</f>
        <v>#NAME?</v>
      </c>
      <c r="L13" s="1177"/>
      <c r="M13" s="1177"/>
      <c r="N13" s="1177"/>
      <c r="O13" s="1177"/>
      <c r="P13" s="1428"/>
    </row>
    <row r="14" spans="1:16">
      <c r="B14" s="472"/>
      <c r="C14" s="481" t="e">
        <f ca="1">_xll.BDH(C11,D13:E13,D11,E11)</f>
        <v>#NAME?</v>
      </c>
      <c r="D14" s="482"/>
      <c r="E14" s="483"/>
      <c r="G14" s="484"/>
      <c r="H14" s="473"/>
      <c r="I14" s="479" t="s">
        <v>1502</v>
      </c>
      <c r="J14" s="480" t="e">
        <f ca="1">_xll.BDH(I14,$J$11,$I$11,$I$11)</f>
        <v>#NAME?</v>
      </c>
      <c r="L14" s="1177"/>
      <c r="M14" s="1177"/>
      <c r="N14" s="1177"/>
      <c r="O14" s="1177"/>
      <c r="P14" s="1428"/>
    </row>
    <row r="15" spans="1:16">
      <c r="B15" s="472"/>
      <c r="C15" s="485"/>
      <c r="D15" s="482"/>
      <c r="E15" s="483"/>
      <c r="G15" s="472"/>
      <c r="H15" s="473"/>
      <c r="I15" s="479" t="s">
        <v>1398</v>
      </c>
      <c r="J15" s="480" t="e">
        <f ca="1">_xll.BDH(I15,$J$11,$I$11,$I$11)</f>
        <v>#NAME?</v>
      </c>
      <c r="L15" s="1177"/>
      <c r="M15" s="1177"/>
      <c r="N15" s="1177"/>
      <c r="O15" s="1177"/>
      <c r="P15" s="1428"/>
    </row>
    <row r="16" spans="1:16">
      <c r="B16" s="472"/>
      <c r="C16" s="485"/>
      <c r="D16" s="482"/>
      <c r="E16" s="483"/>
      <c r="G16" s="472"/>
      <c r="H16" s="473"/>
      <c r="I16" s="479" t="s">
        <v>793</v>
      </c>
      <c r="J16" s="480" t="e">
        <f ca="1">_xll.BDH(I16,$J$11,$I$11,$I$11)</f>
        <v>#NAME?</v>
      </c>
      <c r="L16" s="1177"/>
      <c r="M16" s="1177"/>
      <c r="N16" s="1177"/>
      <c r="O16" s="1177"/>
      <c r="P16" s="1428"/>
    </row>
    <row r="17" spans="2:16">
      <c r="B17" s="472"/>
      <c r="C17" s="485"/>
      <c r="D17" s="482"/>
      <c r="E17" s="483"/>
      <c r="G17" s="472"/>
      <c r="H17" s="473"/>
      <c r="I17" s="479" t="s">
        <v>794</v>
      </c>
      <c r="J17" s="480" t="e">
        <f ca="1">_xll.BDH(I17,$J$11,$I$11,$I$11)</f>
        <v>#NAME?</v>
      </c>
      <c r="L17" s="1177"/>
      <c r="M17" s="1177"/>
      <c r="N17" s="1177"/>
      <c r="O17" s="1177"/>
      <c r="P17" s="1428"/>
    </row>
    <row r="18" spans="2:16">
      <c r="B18" s="472"/>
      <c r="C18" s="485"/>
      <c r="D18" s="482"/>
      <c r="E18" s="483"/>
      <c r="G18" s="472"/>
      <c r="H18" s="473"/>
      <c r="I18" s="479" t="s">
        <v>795</v>
      </c>
      <c r="J18" s="480" t="e">
        <f ca="1">_xll.BDH(I18,$J$11,$I$11,$I$11)</f>
        <v>#NAME?</v>
      </c>
      <c r="L18" s="1177"/>
      <c r="M18" s="1177"/>
      <c r="N18" s="1177"/>
      <c r="O18" s="1177"/>
      <c r="P18" s="1428"/>
    </row>
    <row r="19" spans="2:16">
      <c r="B19" s="472"/>
      <c r="C19" s="485"/>
      <c r="D19" s="482"/>
      <c r="E19" s="483"/>
      <c r="G19" s="472"/>
      <c r="H19" s="473"/>
      <c r="I19" s="485" t="s">
        <v>796</v>
      </c>
      <c r="J19" s="480" t="e">
        <f ca="1">_xll.BDH(I19,$J$11,$I$11,$I$11)</f>
        <v>#NAME?</v>
      </c>
      <c r="L19" s="1177"/>
      <c r="M19" s="1177"/>
      <c r="N19" s="1177"/>
      <c r="O19" s="1177"/>
      <c r="P19" s="1428"/>
    </row>
    <row r="20" spans="2:16">
      <c r="B20" s="486"/>
      <c r="C20" s="487"/>
      <c r="D20" s="487"/>
      <c r="E20" s="488"/>
      <c r="F20" s="1428"/>
      <c r="G20" s="486"/>
      <c r="H20" s="487"/>
      <c r="I20" s="487"/>
      <c r="J20" s="1011"/>
    </row>
    <row r="21" spans="2:16">
      <c r="G21" s="1428"/>
      <c r="H21" s="1428"/>
      <c r="I21" s="1428"/>
      <c r="J21" s="1428"/>
      <c r="L21" s="1444" t="s">
        <v>1411</v>
      </c>
    </row>
    <row r="22" spans="2:16">
      <c r="K22" s="1480"/>
    </row>
    <row r="23" spans="2:16">
      <c r="B23" s="1428"/>
      <c r="C23" s="1428"/>
      <c r="D23" s="1428"/>
      <c r="E23" s="1428"/>
      <c r="F23" s="1428"/>
      <c r="G23" s="1428"/>
      <c r="H23" s="1428"/>
      <c r="I23" s="1428"/>
      <c r="J23" s="1428"/>
      <c r="K23" s="1428"/>
    </row>
    <row r="24" spans="2:16">
      <c r="B24" s="1481"/>
      <c r="C24" s="1428"/>
      <c r="D24" s="1428"/>
      <c r="E24" s="1428"/>
      <c r="F24" s="1428"/>
      <c r="G24" s="1428"/>
      <c r="H24" s="1428"/>
      <c r="I24" s="1428"/>
      <c r="J24" s="1428"/>
    </row>
    <row r="25" spans="2:16">
      <c r="B25" s="1428"/>
      <c r="C25" s="1428"/>
      <c r="D25" s="1428"/>
      <c r="E25" s="1428"/>
      <c r="F25" s="1428"/>
      <c r="G25" s="1428"/>
      <c r="H25" s="1428"/>
      <c r="I25" s="1482"/>
      <c r="J25" s="1483"/>
    </row>
    <row r="26" spans="2:16">
      <c r="B26" s="1428"/>
      <c r="C26" s="1428"/>
      <c r="D26" s="1428"/>
      <c r="E26" s="1428"/>
      <c r="F26" s="1428"/>
      <c r="G26" s="1428"/>
      <c r="H26" s="1428"/>
      <c r="I26" s="1480"/>
      <c r="J26" s="1483"/>
    </row>
    <row r="27" spans="2:16">
      <c r="B27" s="1428"/>
      <c r="C27" s="1428"/>
      <c r="D27" s="1428"/>
      <c r="E27" s="1428"/>
      <c r="F27" s="1428"/>
      <c r="G27" s="1428"/>
      <c r="H27" s="1428"/>
      <c r="I27" s="1480"/>
      <c r="J27" s="1483"/>
    </row>
    <row r="28" spans="2:16">
      <c r="B28" s="1428"/>
      <c r="C28" s="1428"/>
      <c r="D28" s="1428"/>
      <c r="E28" s="1428"/>
      <c r="F28" s="1428"/>
      <c r="G28" s="1428"/>
      <c r="H28" s="1428"/>
      <c r="I28" s="1480"/>
      <c r="J28" s="1483"/>
    </row>
    <row r="29" spans="2:16">
      <c r="B29" s="1428"/>
      <c r="C29" s="1428"/>
      <c r="D29" s="1428"/>
      <c r="E29" s="1428"/>
      <c r="F29" s="1428"/>
      <c r="G29" s="1428"/>
      <c r="H29" s="1428"/>
      <c r="I29" s="1428"/>
      <c r="J29" s="1483"/>
    </row>
    <row r="30" spans="2:16">
      <c r="B30" s="1428"/>
      <c r="C30" s="1428"/>
      <c r="D30" s="1428"/>
      <c r="E30" s="1428"/>
      <c r="F30" s="1428"/>
      <c r="G30" s="1428"/>
      <c r="H30" s="1428"/>
      <c r="I30" s="1480"/>
      <c r="J30" s="1483"/>
    </row>
    <row r="31" spans="2:16">
      <c r="B31" s="1428"/>
      <c r="C31" s="1428"/>
      <c r="D31" s="1428"/>
      <c r="E31" s="1428"/>
      <c r="F31" s="1428"/>
      <c r="G31" s="1428"/>
      <c r="H31" s="1428"/>
      <c r="I31" s="1428"/>
      <c r="J31" s="1483"/>
    </row>
    <row r="32" spans="2:16">
      <c r="B32" s="1428"/>
      <c r="C32" s="1428"/>
      <c r="D32" s="1428"/>
      <c r="E32" s="1428"/>
      <c r="F32" s="1428"/>
      <c r="G32" s="1428"/>
      <c r="H32" s="1428"/>
      <c r="I32" s="1428"/>
      <c r="J32" s="1483"/>
    </row>
    <row r="33" spans="2:10">
      <c r="B33" s="1428"/>
      <c r="C33" s="1428"/>
      <c r="D33" s="1428"/>
      <c r="E33" s="1428"/>
      <c r="F33" s="1428"/>
      <c r="G33" s="1428"/>
      <c r="H33" s="1428"/>
      <c r="I33" s="1428"/>
      <c r="J33" s="1483"/>
    </row>
    <row r="34" spans="2:10">
      <c r="B34" s="1428"/>
      <c r="C34" s="1428"/>
      <c r="D34" s="1428"/>
      <c r="E34" s="1428"/>
      <c r="F34" s="1428"/>
      <c r="G34" s="1428"/>
      <c r="H34" s="1428"/>
      <c r="I34" s="1428"/>
      <c r="J34" s="1483"/>
    </row>
    <row r="35" spans="2:10">
      <c r="B35" s="1428"/>
      <c r="C35" s="1428"/>
      <c r="D35" s="1428"/>
      <c r="E35" s="1428"/>
      <c r="F35" s="1428"/>
      <c r="G35" s="1428"/>
      <c r="H35" s="1428"/>
      <c r="I35" s="1428"/>
      <c r="J35" s="1483"/>
    </row>
    <row r="36" spans="2:10">
      <c r="B36" s="1428"/>
      <c r="C36" s="1428"/>
      <c r="D36" s="1428"/>
      <c r="E36" s="1428"/>
      <c r="F36" s="1428"/>
      <c r="G36" s="1428"/>
      <c r="H36" s="1428"/>
      <c r="I36" s="1428"/>
      <c r="J36" s="1483"/>
    </row>
    <row r="37" spans="2:10">
      <c r="B37" s="1428"/>
      <c r="C37" s="1428"/>
      <c r="D37" s="1428"/>
      <c r="E37" s="1428"/>
      <c r="F37" s="1428"/>
      <c r="G37" s="1428"/>
      <c r="H37" s="1428"/>
      <c r="I37" s="1428"/>
      <c r="J37" s="1483"/>
    </row>
    <row r="38" spans="2:10">
      <c r="B38" s="1428"/>
      <c r="C38" s="1428"/>
      <c r="D38" s="1428"/>
      <c r="E38" s="1428"/>
      <c r="F38" s="1428"/>
      <c r="G38" s="1428"/>
      <c r="H38" s="1428"/>
      <c r="I38" s="1428"/>
      <c r="J38" s="1483"/>
    </row>
    <row r="39" spans="2:10">
      <c r="B39" s="1428"/>
      <c r="C39" s="1428"/>
      <c r="D39" s="1428"/>
      <c r="E39" s="1428"/>
      <c r="F39" s="1428"/>
      <c r="G39" s="1428"/>
      <c r="H39" s="1428"/>
      <c r="I39" s="1428"/>
      <c r="J39" s="1483"/>
    </row>
    <row r="40" spans="2:10">
      <c r="B40" s="1428"/>
      <c r="C40" s="1428"/>
      <c r="D40" s="1428"/>
      <c r="E40" s="1428"/>
      <c r="F40" s="1428"/>
      <c r="G40" s="1428"/>
      <c r="H40" s="1428"/>
      <c r="I40" s="1428"/>
      <c r="J40" s="1483"/>
    </row>
    <row r="41" spans="2:10">
      <c r="B41" s="1428"/>
      <c r="C41" s="1428"/>
      <c r="D41" s="1428"/>
      <c r="E41" s="1428"/>
      <c r="F41" s="1428"/>
      <c r="G41" s="1428"/>
      <c r="H41" s="1428"/>
      <c r="I41" s="1428"/>
      <c r="J41" s="1483"/>
    </row>
    <row r="42" spans="2:10">
      <c r="B42" s="468" t="s">
        <v>797</v>
      </c>
      <c r="C42" s="489"/>
      <c r="D42" s="489"/>
      <c r="E42" s="489"/>
      <c r="F42" s="489"/>
      <c r="G42" s="489"/>
      <c r="H42" s="489"/>
      <c r="I42" s="490"/>
      <c r="J42" s="1483"/>
    </row>
    <row r="43" spans="2:10">
      <c r="B43" s="491"/>
      <c r="C43" s="473"/>
      <c r="D43" s="492" t="s">
        <v>248</v>
      </c>
      <c r="E43" s="473"/>
      <c r="F43" s="473"/>
      <c r="G43" s="473"/>
      <c r="H43" s="493"/>
      <c r="I43" s="474"/>
      <c r="J43" s="1483"/>
    </row>
    <row r="44" spans="2:10">
      <c r="B44" s="472"/>
      <c r="C44" s="473"/>
      <c r="D44" s="493"/>
      <c r="E44" s="473"/>
      <c r="F44" s="473"/>
      <c r="G44" s="473"/>
      <c r="H44" s="473"/>
      <c r="I44" s="474"/>
      <c r="J44" s="1484"/>
    </row>
    <row r="45" spans="2:10">
      <c r="B45" s="1359">
        <v>42480</v>
      </c>
      <c r="C45" s="494">
        <f>_xll.BDH(B48,B47,B45,B46,"dir=h","cols=5;rows=2")</f>
        <v>42480</v>
      </c>
      <c r="D45" s="495">
        <v>42481</v>
      </c>
      <c r="E45" s="495">
        <v>42482</v>
      </c>
      <c r="F45" s="495">
        <v>42485</v>
      </c>
      <c r="G45" s="485">
        <v>42486</v>
      </c>
      <c r="H45" s="485"/>
      <c r="I45" s="483"/>
      <c r="J45" s="1484"/>
    </row>
    <row r="46" spans="2:10">
      <c r="B46" s="1359">
        <v>42486</v>
      </c>
      <c r="C46" s="482">
        <v>146.11000000000001</v>
      </c>
      <c r="D46" s="482">
        <v>149.30000000000001</v>
      </c>
      <c r="E46" s="482">
        <v>148.5</v>
      </c>
      <c r="F46" s="482">
        <v>148.81</v>
      </c>
      <c r="G46" s="482">
        <v>149.08000000000001</v>
      </c>
      <c r="H46" s="485"/>
      <c r="I46" s="483"/>
      <c r="J46" s="1484"/>
    </row>
    <row r="47" spans="2:10">
      <c r="B47" s="1316" t="s">
        <v>783</v>
      </c>
      <c r="C47" s="496"/>
      <c r="D47" s="482"/>
      <c r="E47" s="482"/>
      <c r="F47" s="482"/>
      <c r="G47" s="482"/>
      <c r="H47" s="485"/>
      <c r="I47" s="483"/>
      <c r="J47" s="1484"/>
    </row>
    <row r="48" spans="2:10">
      <c r="B48" s="1316" t="s">
        <v>423</v>
      </c>
      <c r="C48" s="496"/>
      <c r="D48" s="497"/>
      <c r="E48" s="497"/>
      <c r="F48" s="497"/>
      <c r="G48" s="473"/>
      <c r="H48" s="485"/>
      <c r="I48" s="483"/>
      <c r="J48" s="1484"/>
    </row>
    <row r="49" spans="2:10">
      <c r="B49" s="472"/>
      <c r="C49" s="473"/>
      <c r="D49" s="473"/>
      <c r="E49" s="473"/>
      <c r="F49" s="473"/>
      <c r="G49" s="473"/>
      <c r="H49" s="473"/>
      <c r="I49" s="474"/>
      <c r="J49" s="1484"/>
    </row>
    <row r="50" spans="2:10">
      <c r="B50" s="486"/>
      <c r="C50" s="487"/>
      <c r="D50" s="487"/>
      <c r="E50" s="487"/>
      <c r="F50" s="487"/>
      <c r="G50" s="487"/>
      <c r="H50" s="487"/>
      <c r="I50" s="488"/>
      <c r="J50" s="1484"/>
    </row>
    <row r="51" spans="2:10">
      <c r="C51" s="1484"/>
      <c r="D51" s="1485"/>
      <c r="E51" s="1485"/>
      <c r="F51" s="1485"/>
      <c r="J51" s="1484"/>
    </row>
    <row r="52" spans="2:10">
      <c r="B52" s="468" t="s">
        <v>798</v>
      </c>
      <c r="C52" s="498"/>
      <c r="D52" s="498"/>
      <c r="E52" s="498"/>
      <c r="F52" s="498"/>
      <c r="G52" s="489"/>
      <c r="H52" s="489"/>
      <c r="I52" s="222"/>
      <c r="J52" s="1484"/>
    </row>
    <row r="53" spans="2:10">
      <c r="B53" s="472"/>
      <c r="C53" s="485"/>
      <c r="D53" s="499" t="s">
        <v>199</v>
      </c>
      <c r="E53" s="473"/>
      <c r="F53" s="473"/>
      <c r="G53" s="473"/>
      <c r="H53" s="473"/>
      <c r="I53" s="474"/>
      <c r="J53" s="1484"/>
    </row>
    <row r="54" spans="2:10">
      <c r="B54" s="1359">
        <v>42480</v>
      </c>
      <c r="C54" s="485"/>
      <c r="D54" s="473"/>
      <c r="E54" s="473"/>
      <c r="F54" s="473"/>
      <c r="G54" s="473"/>
      <c r="H54" s="473"/>
      <c r="I54" s="474"/>
      <c r="J54" s="1484"/>
    </row>
    <row r="55" spans="2:10">
      <c r="B55" s="1359">
        <v>42487</v>
      </c>
      <c r="C55" s="500">
        <f>_xll.BDH(B57,B56,B54,B55," curr=eur, sort=d","cols=2;rows=6")</f>
        <v>42487</v>
      </c>
      <c r="D55" s="482">
        <v>95.363</v>
      </c>
      <c r="E55" s="495"/>
      <c r="F55" s="495"/>
      <c r="G55" s="495"/>
      <c r="H55" s="495"/>
      <c r="I55" s="501"/>
      <c r="J55" s="1484"/>
    </row>
    <row r="56" spans="2:10">
      <c r="B56" s="1359" t="s">
        <v>783</v>
      </c>
      <c r="C56" s="495">
        <v>42486</v>
      </c>
      <c r="D56" s="482">
        <v>94.734999999999999</v>
      </c>
      <c r="E56" s="482"/>
      <c r="F56" s="482"/>
      <c r="G56" s="482"/>
      <c r="H56" s="482"/>
      <c r="I56" s="483"/>
      <c r="J56" s="1484"/>
    </row>
    <row r="57" spans="2:10">
      <c r="B57" s="1359" t="s">
        <v>794</v>
      </c>
      <c r="C57" s="495">
        <v>42485</v>
      </c>
      <c r="D57" s="482">
        <v>95.091999999999999</v>
      </c>
      <c r="E57" s="475"/>
      <c r="F57" s="495"/>
      <c r="G57" s="475"/>
      <c r="H57" s="475"/>
      <c r="I57" s="502"/>
      <c r="J57" s="1484"/>
    </row>
    <row r="58" spans="2:10">
      <c r="B58" s="503"/>
      <c r="C58" s="495">
        <v>42482</v>
      </c>
      <c r="D58" s="482">
        <v>96.244</v>
      </c>
      <c r="E58" s="475"/>
      <c r="F58" s="495"/>
      <c r="G58" s="475"/>
      <c r="H58" s="475"/>
      <c r="I58" s="502"/>
      <c r="J58" s="1484"/>
    </row>
    <row r="59" spans="2:10">
      <c r="B59" s="504"/>
      <c r="C59" s="495">
        <v>42481</v>
      </c>
      <c r="D59" s="482">
        <v>95.962000000000003</v>
      </c>
      <c r="E59" s="475"/>
      <c r="F59" s="495"/>
      <c r="G59" s="475"/>
      <c r="H59" s="475"/>
      <c r="I59" s="502"/>
      <c r="J59" s="1484"/>
    </row>
    <row r="60" spans="2:10">
      <c r="B60" s="503"/>
      <c r="C60" s="495">
        <v>42480</v>
      </c>
      <c r="D60" s="482">
        <v>95.885000000000005</v>
      </c>
      <c r="E60" s="475"/>
      <c r="F60" s="495"/>
      <c r="G60" s="475"/>
      <c r="H60" s="475"/>
      <c r="I60" s="502"/>
      <c r="J60" s="1484"/>
    </row>
    <row r="61" spans="2:10">
      <c r="B61" s="505"/>
      <c r="C61" s="506"/>
      <c r="D61" s="507"/>
      <c r="E61" s="508"/>
      <c r="F61" s="506"/>
      <c r="G61" s="508"/>
      <c r="H61" s="508"/>
      <c r="I61" s="509"/>
      <c r="J61" s="1484"/>
    </row>
    <row r="62" spans="2:10">
      <c r="J62" s="1484"/>
    </row>
    <row r="63" spans="2:10">
      <c r="B63" s="468" t="s">
        <v>799</v>
      </c>
      <c r="C63" s="489"/>
      <c r="D63" s="489"/>
      <c r="E63" s="489"/>
      <c r="F63" s="489"/>
      <c r="G63" s="489"/>
      <c r="H63" s="489"/>
      <c r="I63" s="490"/>
      <c r="J63" s="1484"/>
    </row>
    <row r="64" spans="2:10">
      <c r="B64" s="503"/>
      <c r="C64" s="471"/>
      <c r="D64" s="473"/>
      <c r="E64" s="499" t="s">
        <v>843</v>
      </c>
      <c r="F64" s="471"/>
      <c r="G64" s="473"/>
      <c r="H64" s="473"/>
      <c r="I64" s="474"/>
      <c r="J64" s="1484"/>
    </row>
    <row r="65" spans="2:10">
      <c r="B65" s="503"/>
      <c r="C65" s="471"/>
      <c r="D65" s="473"/>
      <c r="E65" s="473"/>
      <c r="F65" s="473"/>
      <c r="G65" s="473"/>
      <c r="H65" s="473"/>
      <c r="I65" s="474"/>
      <c r="J65" s="1484"/>
    </row>
    <row r="66" spans="2:10">
      <c r="B66" s="1359">
        <v>42467</v>
      </c>
      <c r="C66" s="750"/>
      <c r="D66" s="510">
        <f>_xll.BDH(B69,B68,B66,B67,B70:B72,C70:C72,"cols=2;rows=3")</f>
        <v>42471</v>
      </c>
      <c r="E66" s="511">
        <v>101.4853</v>
      </c>
      <c r="F66" s="512"/>
      <c r="G66" s="512"/>
      <c r="H66" s="485"/>
      <c r="I66" s="513"/>
      <c r="J66" s="1484"/>
    </row>
    <row r="67" spans="2:10">
      <c r="B67" s="1359">
        <v>42471</v>
      </c>
      <c r="C67" s="750"/>
      <c r="D67" s="510">
        <v>42468</v>
      </c>
      <c r="E67" s="511">
        <v>101.37287000000001</v>
      </c>
      <c r="F67" s="471"/>
      <c r="G67" s="471"/>
      <c r="H67" s="473"/>
      <c r="I67" s="474"/>
      <c r="J67" s="1484"/>
    </row>
    <row r="68" spans="2:10">
      <c r="B68" s="1359" t="s">
        <v>783</v>
      </c>
      <c r="C68" s="485"/>
      <c r="D68" s="510">
        <v>42467</v>
      </c>
      <c r="E68" s="511">
        <v>99.766379999999998</v>
      </c>
      <c r="F68" s="471"/>
      <c r="G68" s="471"/>
      <c r="H68" s="473"/>
      <c r="I68" s="474"/>
      <c r="J68" s="1484"/>
    </row>
    <row r="69" spans="2:10">
      <c r="B69" s="1359" t="s">
        <v>794</v>
      </c>
      <c r="C69" s="750"/>
      <c r="D69" s="510"/>
      <c r="E69" s="511"/>
      <c r="F69" s="757"/>
      <c r="G69" s="471"/>
      <c r="H69" s="495"/>
      <c r="I69" s="501"/>
      <c r="J69" s="1484"/>
    </row>
    <row r="70" spans="2:10">
      <c r="B70" s="1360" t="s">
        <v>800</v>
      </c>
      <c r="C70" s="1361" t="s">
        <v>1340</v>
      </c>
      <c r="D70" s="510"/>
      <c r="E70" s="511"/>
      <c r="F70" s="757"/>
      <c r="G70" s="471"/>
      <c r="H70" s="482"/>
      <c r="I70" s="483"/>
      <c r="J70" s="1484"/>
    </row>
    <row r="71" spans="2:10">
      <c r="B71" s="1360" t="s">
        <v>801</v>
      </c>
      <c r="C71" s="1361" t="s">
        <v>826</v>
      </c>
      <c r="D71" s="514"/>
      <c r="E71" s="511"/>
      <c r="F71" s="471"/>
      <c r="G71" s="471"/>
      <c r="H71" s="473"/>
      <c r="I71" s="474"/>
      <c r="J71" s="1484"/>
    </row>
    <row r="72" spans="2:10">
      <c r="B72" s="1360" t="s">
        <v>827</v>
      </c>
      <c r="C72" s="1361" t="s">
        <v>638</v>
      </c>
      <c r="D72" s="471"/>
      <c r="E72" s="471"/>
      <c r="F72" s="471"/>
      <c r="G72" s="471"/>
      <c r="H72" s="473"/>
      <c r="I72" s="474"/>
      <c r="J72" s="1484"/>
    </row>
    <row r="73" spans="2:10">
      <c r="B73" s="503"/>
      <c r="C73" s="471"/>
      <c r="D73" s="471"/>
      <c r="E73" s="471"/>
      <c r="F73" s="471"/>
      <c r="G73" s="471"/>
      <c r="H73" s="473"/>
      <c r="I73" s="474"/>
      <c r="J73" s="1484"/>
    </row>
    <row r="74" spans="2:10">
      <c r="B74" s="503"/>
      <c r="C74" s="471"/>
      <c r="D74" s="471"/>
      <c r="E74" s="473"/>
      <c r="F74" s="473"/>
      <c r="G74" s="473"/>
      <c r="H74" s="473"/>
      <c r="I74" s="474"/>
      <c r="J74" s="1484"/>
    </row>
    <row r="75" spans="2:10">
      <c r="B75" s="505"/>
      <c r="C75" s="515"/>
      <c r="D75" s="487"/>
      <c r="E75" s="487"/>
      <c r="F75" s="487"/>
      <c r="G75" s="487"/>
      <c r="H75" s="487"/>
      <c r="I75" s="488"/>
      <c r="J75" s="1484"/>
    </row>
    <row r="76" spans="2:10">
      <c r="J76" s="1484"/>
    </row>
    <row r="77" spans="2:10" ht="15.75">
      <c r="B77" s="516" t="s">
        <v>1520</v>
      </c>
      <c r="C77" s="517"/>
      <c r="D77" s="489"/>
      <c r="E77" s="489"/>
      <c r="F77" s="489"/>
      <c r="G77" s="489"/>
      <c r="H77" s="489"/>
      <c r="I77" s="490"/>
      <c r="J77" s="1484"/>
    </row>
    <row r="78" spans="2:10">
      <c r="B78" s="472"/>
      <c r="C78" s="485"/>
      <c r="D78" s="471"/>
      <c r="E78" s="473"/>
      <c r="F78" s="473"/>
      <c r="G78" s="473"/>
      <c r="H78" s="473"/>
      <c r="I78" s="474"/>
      <c r="J78" s="1484"/>
    </row>
    <row r="79" spans="2:10">
      <c r="B79" s="1359">
        <v>41772</v>
      </c>
      <c r="C79" s="485"/>
      <c r="D79" s="499" t="s">
        <v>995</v>
      </c>
      <c r="E79" s="473"/>
      <c r="F79" s="473"/>
      <c r="G79" s="473"/>
      <c r="H79" s="473"/>
      <c r="I79" s="474"/>
    </row>
    <row r="80" spans="2:10">
      <c r="B80" s="1359">
        <v>41782</v>
      </c>
      <c r="C80" s="481">
        <f>_xll.BDH(B82,B81,B79,B80,"days=w, fill=c","cols=2;rows=9")</f>
        <v>41772</v>
      </c>
      <c r="D80" s="567">
        <v>101.5</v>
      </c>
      <c r="E80" s="485"/>
      <c r="F80" s="485"/>
      <c r="G80" s="473"/>
      <c r="H80" s="473"/>
      <c r="I80" s="474"/>
    </row>
    <row r="81" spans="2:23">
      <c r="B81" s="1359" t="s">
        <v>783</v>
      </c>
      <c r="C81" s="485">
        <v>41773</v>
      </c>
      <c r="D81" s="567">
        <v>101.7</v>
      </c>
      <c r="E81" s="473"/>
      <c r="F81" s="473"/>
      <c r="G81" s="473"/>
      <c r="H81" s="473"/>
      <c r="I81" s="474"/>
    </row>
    <row r="82" spans="2:23">
      <c r="B82" s="1359" t="s">
        <v>1400</v>
      </c>
      <c r="C82" s="485">
        <v>41774</v>
      </c>
      <c r="D82" s="567">
        <v>100.6</v>
      </c>
      <c r="E82" s="473"/>
      <c r="F82" s="471"/>
      <c r="G82" s="473"/>
      <c r="H82" s="473"/>
      <c r="I82" s="474"/>
    </row>
    <row r="83" spans="2:23">
      <c r="B83" s="472"/>
      <c r="C83" s="777">
        <v>41775</v>
      </c>
      <c r="D83" s="778">
        <v>100.6</v>
      </c>
      <c r="E83" s="473"/>
      <c r="F83" s="473" t="s">
        <v>802</v>
      </c>
      <c r="G83" s="473"/>
      <c r="H83" s="473"/>
      <c r="I83" s="474"/>
    </row>
    <row r="84" spans="2:23">
      <c r="B84" s="472"/>
      <c r="C84" s="485">
        <v>41778</v>
      </c>
      <c r="D84" s="567">
        <v>100.2</v>
      </c>
      <c r="E84" s="473"/>
      <c r="F84" s="473" t="s">
        <v>803</v>
      </c>
      <c r="G84" s="473"/>
      <c r="H84" s="473"/>
      <c r="I84" s="474"/>
    </row>
    <row r="85" spans="2:23">
      <c r="B85" s="472"/>
      <c r="C85" s="485">
        <v>41779</v>
      </c>
      <c r="D85" s="567">
        <v>101</v>
      </c>
      <c r="E85" s="473"/>
      <c r="F85" s="471"/>
      <c r="G85" s="473"/>
      <c r="H85" s="473"/>
      <c r="I85" s="474"/>
    </row>
    <row r="86" spans="2:23">
      <c r="B86" s="472"/>
      <c r="C86" s="485">
        <v>41780</v>
      </c>
      <c r="D86" s="567">
        <v>102.2</v>
      </c>
      <c r="E86" s="473"/>
      <c r="F86" s="471"/>
      <c r="G86" s="473"/>
      <c r="H86" s="473"/>
      <c r="I86" s="474"/>
    </row>
    <row r="87" spans="2:23">
      <c r="B87" s="472"/>
      <c r="C87" s="485">
        <v>41781</v>
      </c>
      <c r="D87" s="567">
        <v>102.6</v>
      </c>
      <c r="E87" s="473"/>
      <c r="F87" s="473"/>
      <c r="G87" s="473"/>
      <c r="H87" s="473"/>
      <c r="I87" s="474"/>
    </row>
    <row r="88" spans="2:23">
      <c r="B88" s="472"/>
      <c r="C88" s="485">
        <v>41782</v>
      </c>
      <c r="D88" s="567">
        <v>102.6</v>
      </c>
      <c r="E88" s="473"/>
      <c r="F88" s="473"/>
      <c r="G88" s="473"/>
      <c r="H88" s="473"/>
      <c r="I88" s="474"/>
    </row>
    <row r="89" spans="2:23">
      <c r="B89" s="486"/>
      <c r="C89" s="515"/>
      <c r="D89" s="487"/>
      <c r="E89" s="487"/>
      <c r="F89" s="487"/>
      <c r="G89" s="487"/>
      <c r="H89" s="487"/>
      <c r="I89" s="488"/>
    </row>
    <row r="90" spans="2:23" ht="23.25">
      <c r="C90" s="1484"/>
      <c r="W90" s="1486" t="s">
        <v>1412</v>
      </c>
    </row>
    <row r="91" spans="2:23" ht="15.75">
      <c r="B91" s="468" t="s">
        <v>1521</v>
      </c>
      <c r="C91" s="517"/>
      <c r="D91" s="489"/>
      <c r="E91" s="489"/>
      <c r="F91" s="489"/>
      <c r="G91" s="489"/>
      <c r="H91" s="489"/>
      <c r="I91" s="490"/>
      <c r="L91" s="1444" t="s">
        <v>526</v>
      </c>
    </row>
    <row r="92" spans="2:23">
      <c r="B92" s="472" t="s">
        <v>783</v>
      </c>
      <c r="C92" s="485"/>
      <c r="D92" s="471"/>
      <c r="E92" s="473"/>
      <c r="F92" s="473"/>
      <c r="G92" s="473"/>
      <c r="H92" s="473"/>
      <c r="I92" s="474"/>
    </row>
    <row r="93" spans="2:23">
      <c r="B93" s="1359">
        <v>41772</v>
      </c>
      <c r="C93" s="485"/>
      <c r="D93" s="499" t="s">
        <v>996</v>
      </c>
      <c r="E93" s="473"/>
      <c r="F93" s="473"/>
      <c r="G93" s="473"/>
      <c r="H93" s="473"/>
      <c r="I93" s="474"/>
    </row>
    <row r="94" spans="2:23">
      <c r="B94" s="1359">
        <v>41782</v>
      </c>
      <c r="C94" s="481">
        <f>_xll.BDH(B96,B95,B93,B94,"days=w, fill=c, sort=d","cols=2;rows=9")</f>
        <v>41782</v>
      </c>
      <c r="D94" s="567">
        <v>102.6</v>
      </c>
      <c r="E94" s="485"/>
      <c r="F94" s="485"/>
      <c r="G94" s="473"/>
      <c r="H94" s="473"/>
      <c r="I94" s="474"/>
    </row>
    <row r="95" spans="2:23">
      <c r="B95" s="1359" t="s">
        <v>783</v>
      </c>
      <c r="C95" s="485">
        <v>41781</v>
      </c>
      <c r="D95" s="567">
        <v>102.6</v>
      </c>
      <c r="E95" s="473"/>
      <c r="F95" s="473"/>
      <c r="G95" s="473"/>
      <c r="H95" s="473"/>
      <c r="I95" s="474"/>
    </row>
    <row r="96" spans="2:23">
      <c r="B96" s="1359" t="s">
        <v>1400</v>
      </c>
      <c r="C96" s="485">
        <v>41780</v>
      </c>
      <c r="D96" s="567">
        <v>102.2</v>
      </c>
      <c r="E96" s="473"/>
      <c r="F96" s="473"/>
      <c r="G96" s="473"/>
      <c r="H96" s="473"/>
      <c r="I96" s="474"/>
    </row>
    <row r="97" spans="1:11">
      <c r="B97" s="472"/>
      <c r="C97" s="485">
        <v>41779</v>
      </c>
      <c r="D97" s="567">
        <v>101</v>
      </c>
      <c r="E97" s="473"/>
      <c r="F97" s="471"/>
      <c r="G97" s="473"/>
      <c r="H97" s="473"/>
      <c r="I97" s="474"/>
    </row>
    <row r="98" spans="1:11">
      <c r="B98" s="472"/>
      <c r="C98" s="485">
        <v>41778</v>
      </c>
      <c r="D98" s="567">
        <v>100.2</v>
      </c>
      <c r="E98" s="473"/>
      <c r="F98" s="473" t="s">
        <v>802</v>
      </c>
      <c r="G98" s="473"/>
      <c r="H98" s="473"/>
      <c r="I98" s="474"/>
    </row>
    <row r="99" spans="1:11">
      <c r="B99" s="472"/>
      <c r="C99" s="777">
        <v>41775</v>
      </c>
      <c r="D99" s="778">
        <v>100.6</v>
      </c>
      <c r="E99" s="473"/>
      <c r="F99" s="473" t="s">
        <v>803</v>
      </c>
      <c r="G99" s="473"/>
      <c r="H99" s="473"/>
      <c r="I99" s="474"/>
    </row>
    <row r="100" spans="1:11">
      <c r="B100" s="472"/>
      <c r="C100" s="485">
        <v>41774</v>
      </c>
      <c r="D100" s="567">
        <v>100.6</v>
      </c>
      <c r="E100" s="473"/>
      <c r="F100" s="471"/>
      <c r="G100" s="473"/>
      <c r="H100" s="473"/>
      <c r="I100" s="474"/>
    </row>
    <row r="101" spans="1:11">
      <c r="B101" s="472"/>
      <c r="C101" s="485">
        <v>41773</v>
      </c>
      <c r="D101" s="567">
        <v>101.7</v>
      </c>
      <c r="E101" s="473"/>
      <c r="F101" s="473"/>
      <c r="G101" s="473"/>
      <c r="H101" s="473"/>
      <c r="I101" s="474"/>
    </row>
    <row r="102" spans="1:11">
      <c r="B102" s="472"/>
      <c r="C102" s="485">
        <v>41772</v>
      </c>
      <c r="D102" s="567">
        <v>101.5</v>
      </c>
      <c r="E102" s="473"/>
      <c r="F102" s="473"/>
      <c r="G102" s="473"/>
      <c r="H102" s="473"/>
      <c r="I102" s="474"/>
    </row>
    <row r="103" spans="1:11">
      <c r="B103" s="472"/>
      <c r="C103" s="485"/>
      <c r="D103" s="473"/>
      <c r="E103" s="473"/>
      <c r="F103" s="473"/>
      <c r="G103" s="473"/>
      <c r="H103" s="473"/>
      <c r="I103" s="474"/>
    </row>
    <row r="104" spans="1:11">
      <c r="A104" s="1428"/>
      <c r="B104" s="1487"/>
      <c r="C104" s="1488"/>
      <c r="D104" s="1487"/>
      <c r="E104" s="1487"/>
      <c r="F104" s="1487"/>
      <c r="G104" s="1487"/>
      <c r="H104" s="1487"/>
      <c r="I104" s="1487"/>
      <c r="J104" s="1428"/>
    </row>
    <row r="105" spans="1:11">
      <c r="B105" s="472" t="s">
        <v>804</v>
      </c>
      <c r="C105" s="485"/>
      <c r="D105" s="473"/>
      <c r="E105" s="473"/>
      <c r="F105" s="473"/>
      <c r="G105" s="473"/>
      <c r="H105" s="473"/>
      <c r="I105" s="474"/>
    </row>
    <row r="106" spans="1:11">
      <c r="B106" s="472"/>
      <c r="C106" s="485"/>
      <c r="D106" s="518" t="s">
        <v>997</v>
      </c>
      <c r="E106" s="485"/>
      <c r="F106" s="485"/>
      <c r="G106" s="485"/>
      <c r="H106" s="485"/>
      <c r="I106" s="513"/>
      <c r="J106" s="1484"/>
    </row>
    <row r="107" spans="1:11">
      <c r="B107" s="1359">
        <v>42491</v>
      </c>
      <c r="C107" s="485"/>
      <c r="D107" s="519" t="s">
        <v>200</v>
      </c>
      <c r="E107" s="473"/>
      <c r="F107" s="473"/>
      <c r="G107" s="473"/>
      <c r="H107" s="473"/>
      <c r="I107" s="474"/>
    </row>
    <row r="108" spans="1:11">
      <c r="B108" s="1359">
        <v>42499</v>
      </c>
      <c r="C108" s="485"/>
      <c r="D108" s="473"/>
      <c r="E108" s="473"/>
      <c r="F108" s="473"/>
      <c r="G108" s="473"/>
      <c r="H108" s="473"/>
      <c r="I108" s="474"/>
    </row>
    <row r="109" spans="1:11">
      <c r="B109" s="1359" t="s">
        <v>783</v>
      </c>
      <c r="C109" s="520">
        <f>_xll.BDH(B110,$B$109,$B$107,$B$108,"days=w, fill=c, dir=h","cols=6;rows=2")</f>
        <v>42492</v>
      </c>
      <c r="D109" s="521">
        <v>42493</v>
      </c>
      <c r="E109" s="521">
        <v>42494</v>
      </c>
      <c r="F109" s="521">
        <v>42495</v>
      </c>
      <c r="G109" s="521">
        <v>42496</v>
      </c>
      <c r="H109" s="521">
        <v>42499</v>
      </c>
      <c r="I109" s="522"/>
      <c r="J109" s="1484"/>
      <c r="K109" s="1484"/>
    </row>
    <row r="110" spans="1:11">
      <c r="B110" s="472" t="s">
        <v>805</v>
      </c>
      <c r="C110" s="523">
        <v>14.295999999999999</v>
      </c>
      <c r="D110" s="523">
        <v>13.488</v>
      </c>
      <c r="E110" s="523">
        <v>13.343999999999999</v>
      </c>
      <c r="F110" s="523">
        <v>13.023</v>
      </c>
      <c r="G110" s="523">
        <v>13.250999999999999</v>
      </c>
      <c r="H110" s="523">
        <v>13.109</v>
      </c>
      <c r="I110" s="524"/>
    </row>
    <row r="111" spans="1:11">
      <c r="B111" s="472" t="s">
        <v>794</v>
      </c>
      <c r="C111" s="525">
        <f>_xll.BDH(B111,$B$109,$B$107,$B$108,"days=w, fill=c, dir=h, dts=h","cols=6;rows=1")</f>
        <v>91.412000000000006</v>
      </c>
      <c r="D111" s="523">
        <v>89.85</v>
      </c>
      <c r="E111" s="523">
        <v>90.984999999999999</v>
      </c>
      <c r="F111" s="523">
        <v>91.730999999999995</v>
      </c>
      <c r="G111" s="523">
        <v>92.811999999999998</v>
      </c>
      <c r="H111" s="523">
        <v>92.930999999999997</v>
      </c>
      <c r="I111" s="524"/>
    </row>
    <row r="112" spans="1:11">
      <c r="B112" s="472" t="s">
        <v>1522</v>
      </c>
      <c r="C112" s="523">
        <f>_xll.BDH(B112,$B$109,$B$107,$B$108,"days=w, fill=c, dir=h, dts=h","cols=6;rows=1")</f>
        <v>69.171000000000006</v>
      </c>
      <c r="D112" s="523">
        <v>68.135999999999996</v>
      </c>
      <c r="E112" s="523">
        <v>67.341999999999999</v>
      </c>
      <c r="F112" s="523">
        <v>67.486999999999995</v>
      </c>
      <c r="G112" s="523">
        <v>67.635999999999996</v>
      </c>
      <c r="H112" s="523">
        <v>68.879000000000005</v>
      </c>
      <c r="I112" s="524"/>
    </row>
    <row r="113" spans="2:10">
      <c r="B113" s="472" t="s">
        <v>806</v>
      </c>
      <c r="C113" s="523">
        <f>_xll.BDH(B113,$B$109,$B$107,$B$108,"days=w, fill=c, dir=h, dts=h","cols=6;rows=1")</f>
        <v>15.473000000000001</v>
      </c>
      <c r="D113" s="523">
        <v>15.249000000000001</v>
      </c>
      <c r="E113" s="523">
        <v>14.9</v>
      </c>
      <c r="F113" s="523">
        <v>14.987</v>
      </c>
      <c r="G113" s="523">
        <v>15.028</v>
      </c>
      <c r="H113" s="523">
        <v>15.446</v>
      </c>
      <c r="I113" s="524"/>
    </row>
    <row r="114" spans="2:10">
      <c r="B114" s="472"/>
      <c r="C114" s="523"/>
      <c r="D114" s="523"/>
      <c r="E114" s="523"/>
      <c r="F114" s="523"/>
      <c r="G114" s="523"/>
      <c r="H114" s="523"/>
      <c r="I114" s="524"/>
    </row>
    <row r="115" spans="2:10">
      <c r="B115" s="486"/>
      <c r="C115" s="515"/>
      <c r="D115" s="487"/>
      <c r="E115" s="487"/>
      <c r="F115" s="487"/>
      <c r="G115" s="487"/>
      <c r="H115" s="487"/>
      <c r="I115" s="488"/>
      <c r="J115" s="1428"/>
    </row>
    <row r="116" spans="2:10">
      <c r="B116" s="1489"/>
      <c r="C116" s="1489"/>
      <c r="D116" s="1490"/>
      <c r="E116" s="1489"/>
      <c r="F116" s="1489"/>
      <c r="G116" s="1489"/>
      <c r="H116" s="1489"/>
      <c r="I116" s="1489"/>
      <c r="J116" s="1428"/>
    </row>
    <row r="117" spans="2:10">
      <c r="B117" s="1428"/>
      <c r="C117" s="1428"/>
      <c r="D117" s="1428"/>
      <c r="E117" s="1428"/>
      <c r="F117" s="1428"/>
      <c r="G117" s="1428"/>
      <c r="H117" s="1428"/>
      <c r="I117" s="1428"/>
      <c r="J117" s="1428"/>
    </row>
    <row r="118" spans="2:10">
      <c r="B118" s="1362" t="s">
        <v>807</v>
      </c>
      <c r="C118" s="1363">
        <v>42005</v>
      </c>
      <c r="D118" s="1364">
        <v>42370</v>
      </c>
      <c r="E118" s="1494"/>
      <c r="F118" s="1495"/>
      <c r="G118" s="1495"/>
      <c r="H118" s="1495"/>
      <c r="I118" s="1495"/>
      <c r="J118" s="1428"/>
    </row>
    <row r="119" spans="2:10">
      <c r="B119" s="472"/>
      <c r="C119" s="473"/>
      <c r="D119" s="526"/>
      <c r="E119" s="473"/>
      <c r="F119" s="473"/>
      <c r="G119" s="473"/>
      <c r="H119" s="473"/>
      <c r="I119" s="474"/>
    </row>
    <row r="120" spans="2:10">
      <c r="B120" s="707" t="s">
        <v>1789</v>
      </c>
      <c r="C120" s="473"/>
      <c r="D120" s="473"/>
      <c r="E120" s="1077" t="s">
        <v>1790</v>
      </c>
      <c r="F120" s="473"/>
      <c r="G120" s="473"/>
      <c r="H120" s="1077" t="s">
        <v>1791</v>
      </c>
      <c r="I120" s="474"/>
    </row>
    <row r="121" spans="2:10">
      <c r="B121" s="472"/>
      <c r="C121" s="485"/>
      <c r="D121" s="473"/>
      <c r="E121" s="526"/>
      <c r="F121" s="473"/>
      <c r="G121" s="473"/>
      <c r="H121" s="526"/>
      <c r="I121" s="474"/>
    </row>
    <row r="122" spans="2:10">
      <c r="B122" s="1334" t="s">
        <v>808</v>
      </c>
      <c r="C122" s="495"/>
      <c r="D122" s="475"/>
      <c r="E122" s="1334" t="s">
        <v>805</v>
      </c>
      <c r="F122" s="495"/>
      <c r="G122" s="475"/>
      <c r="H122" s="1334" t="s">
        <v>806</v>
      </c>
      <c r="I122" s="501"/>
    </row>
    <row r="123" spans="2:10">
      <c r="B123" s="536">
        <f>_xll.BDH(B122,$B$118,$C$118,$D$118,"cols=2;rows=4")</f>
        <v>42094</v>
      </c>
      <c r="C123" s="528">
        <v>16104</v>
      </c>
      <c r="D123" s="475"/>
      <c r="E123" s="500">
        <f>_xll.BDH(E122,$B$118,$C$118,$D$118,"cols=2;rows=4")</f>
        <v>42094</v>
      </c>
      <c r="F123" s="528">
        <v>278883</v>
      </c>
      <c r="G123" s="475"/>
      <c r="H123" s="500">
        <f>_xll.BDH(H122,$B$118,$C$118,$D$118,"cols=2;rows=4")</f>
        <v>42094</v>
      </c>
      <c r="I123" s="529">
        <v>56562</v>
      </c>
    </row>
    <row r="124" spans="2:10">
      <c r="B124" s="537">
        <v>42185</v>
      </c>
      <c r="C124" s="528">
        <v>17649</v>
      </c>
      <c r="D124" s="475"/>
      <c r="E124" s="495">
        <v>42185</v>
      </c>
      <c r="F124" s="528">
        <v>261310</v>
      </c>
      <c r="G124" s="475"/>
      <c r="H124" s="495">
        <v>42185</v>
      </c>
      <c r="I124" s="529">
        <v>57493</v>
      </c>
    </row>
    <row r="125" spans="2:10">
      <c r="B125" s="537">
        <v>42277</v>
      </c>
      <c r="C125" s="528">
        <v>15514</v>
      </c>
      <c r="D125" s="475"/>
      <c r="E125" s="495">
        <v>42277</v>
      </c>
      <c r="F125" s="528">
        <v>264737</v>
      </c>
      <c r="G125" s="475"/>
      <c r="H125" s="495">
        <v>42277</v>
      </c>
      <c r="I125" s="529">
        <v>56318</v>
      </c>
    </row>
    <row r="126" spans="2:10">
      <c r="B126" s="537">
        <v>42369</v>
      </c>
      <c r="C126" s="528">
        <v>15197</v>
      </c>
      <c r="D126" s="475"/>
      <c r="E126" s="495">
        <v>42369</v>
      </c>
      <c r="F126" s="528">
        <v>260423</v>
      </c>
      <c r="G126" s="475"/>
      <c r="H126" s="495">
        <v>42369</v>
      </c>
      <c r="I126" s="529">
        <v>61446</v>
      </c>
    </row>
    <row r="127" spans="2:10">
      <c r="B127" s="531"/>
      <c r="C127" s="713"/>
      <c r="D127" s="515"/>
      <c r="E127" s="515"/>
      <c r="F127" s="487"/>
      <c r="G127" s="487"/>
      <c r="H127" s="515"/>
      <c r="I127" s="488"/>
    </row>
    <row r="128" spans="2:10">
      <c r="C128" s="1484"/>
      <c r="J128" s="1428"/>
    </row>
    <row r="129" spans="2:12" ht="21">
      <c r="B129" s="468" t="s">
        <v>367</v>
      </c>
      <c r="C129" s="517"/>
      <c r="D129" s="489"/>
      <c r="E129" s="489"/>
      <c r="F129" s="490"/>
      <c r="H129" s="468" t="s">
        <v>809</v>
      </c>
      <c r="I129" s="489"/>
      <c r="J129" s="489"/>
      <c r="K129" s="490"/>
      <c r="L129" s="1186" t="s">
        <v>1720</v>
      </c>
    </row>
    <row r="130" spans="2:12">
      <c r="B130" s="472"/>
      <c r="C130" s="473"/>
      <c r="D130" s="473"/>
      <c r="E130" s="473"/>
      <c r="F130" s="474"/>
      <c r="H130" s="472"/>
      <c r="I130" s="473"/>
      <c r="J130" s="473"/>
      <c r="K130" s="474"/>
      <c r="L130" s="1117" t="s">
        <v>1721</v>
      </c>
    </row>
    <row r="131" spans="2:12">
      <c r="B131" s="1362">
        <v>42134</v>
      </c>
      <c r="C131" s="473"/>
      <c r="D131" s="473"/>
      <c r="E131" s="473"/>
      <c r="F131" s="474"/>
      <c r="H131" s="472"/>
      <c r="I131" s="473"/>
      <c r="J131" s="532"/>
      <c r="K131" s="474"/>
      <c r="L131" s="1117" t="s">
        <v>1722</v>
      </c>
    </row>
    <row r="132" spans="2:12">
      <c r="B132" s="1362">
        <v>42405</v>
      </c>
      <c r="C132" s="471"/>
      <c r="D132" s="471"/>
      <c r="E132" s="473"/>
      <c r="F132" s="474"/>
      <c r="H132" s="533" t="s">
        <v>1046</v>
      </c>
      <c r="I132" s="473"/>
      <c r="J132" s="1010"/>
      <c r="K132" s="474"/>
    </row>
    <row r="133" spans="2:12">
      <c r="B133" s="1365" t="s">
        <v>783</v>
      </c>
      <c r="C133" s="471"/>
      <c r="D133" s="471"/>
      <c r="E133" s="473"/>
      <c r="F133" s="474"/>
      <c r="H133" s="472"/>
      <c r="I133" s="473"/>
      <c r="J133" s="1010"/>
      <c r="K133" s="474"/>
    </row>
    <row r="134" spans="2:12">
      <c r="B134" s="1366" t="s">
        <v>805</v>
      </c>
      <c r="C134" s="471"/>
      <c r="D134" s="471"/>
      <c r="E134" s="473"/>
      <c r="F134" s="474"/>
      <c r="H134" s="472"/>
      <c r="I134" s="473"/>
      <c r="J134" s="534"/>
      <c r="K134" s="474"/>
    </row>
    <row r="135" spans="2:12">
      <c r="B135" s="1359" t="s">
        <v>824</v>
      </c>
      <c r="C135" s="471"/>
      <c r="D135" s="473"/>
      <c r="E135" s="473"/>
      <c r="F135" s="474"/>
      <c r="H135" s="472"/>
      <c r="I135" s="499" t="s">
        <v>998</v>
      </c>
      <c r="J135" s="473"/>
      <c r="K135" s="474"/>
    </row>
    <row r="136" spans="2:12">
      <c r="B136" s="535" t="s">
        <v>825</v>
      </c>
      <c r="C136" s="471"/>
      <c r="D136" s="471"/>
      <c r="E136" s="473"/>
      <c r="F136" s="474"/>
      <c r="H136" s="472"/>
      <c r="I136" s="473"/>
      <c r="J136" s="473"/>
      <c r="K136" s="474"/>
    </row>
    <row r="137" spans="2:12">
      <c r="B137" s="536">
        <f>_xll.BDH(B134,B133,B131,B132,B135,"cols=2;rows=9")</f>
        <v>42160</v>
      </c>
      <c r="C137" s="482">
        <v>24.614000000000001</v>
      </c>
      <c r="D137" s="471"/>
      <c r="E137" s="473"/>
      <c r="F137" s="474"/>
      <c r="H137" s="1365" t="s">
        <v>823</v>
      </c>
      <c r="I137" s="510">
        <f>_xll.BDH(H139,H138,H137,,"cols=2;rows=77")</f>
        <v>43283</v>
      </c>
      <c r="J137" s="511">
        <v>9.1379999999999999</v>
      </c>
      <c r="K137" s="474"/>
    </row>
    <row r="138" spans="2:12">
      <c r="B138" s="537">
        <v>42190</v>
      </c>
      <c r="C138" s="482">
        <v>25.079000000000001</v>
      </c>
      <c r="D138" s="471"/>
      <c r="E138" s="473"/>
      <c r="F138" s="474"/>
      <c r="H138" s="1365" t="s">
        <v>783</v>
      </c>
      <c r="I138" s="514">
        <v>43284</v>
      </c>
      <c r="J138" s="511">
        <v>9.2460000000000004</v>
      </c>
      <c r="K138" s="474"/>
    </row>
    <row r="139" spans="2:12">
      <c r="B139" s="537">
        <v>42221</v>
      </c>
      <c r="C139" s="482">
        <v>27.861000000000001</v>
      </c>
      <c r="D139" s="471"/>
      <c r="E139" s="473"/>
      <c r="F139" s="474"/>
      <c r="H139" s="1366" t="s">
        <v>805</v>
      </c>
      <c r="I139" s="514">
        <v>43285</v>
      </c>
      <c r="J139" s="511">
        <v>9.3569999999999993</v>
      </c>
      <c r="K139" s="474"/>
    </row>
    <row r="140" spans="2:12">
      <c r="B140" s="537">
        <v>42252</v>
      </c>
      <c r="C140" s="482">
        <v>22.71</v>
      </c>
      <c r="D140" s="471"/>
      <c r="E140" s="473"/>
      <c r="F140" s="474"/>
      <c r="H140" s="472"/>
      <c r="I140" s="514">
        <v>43286</v>
      </c>
      <c r="J140" s="511">
        <v>9.5429999999999993</v>
      </c>
      <c r="K140" s="474"/>
    </row>
    <row r="141" spans="2:12">
      <c r="B141" s="537">
        <v>42282</v>
      </c>
      <c r="C141" s="482">
        <v>22.448</v>
      </c>
      <c r="D141" s="471"/>
      <c r="E141" s="473"/>
      <c r="F141" s="474"/>
      <c r="H141" s="538" t="s">
        <v>254</v>
      </c>
      <c r="I141" s="514">
        <v>43287</v>
      </c>
      <c r="J141" s="511">
        <v>9.7889999999999997</v>
      </c>
      <c r="K141" s="474"/>
    </row>
    <row r="142" spans="2:12">
      <c r="B142" s="537">
        <v>42313</v>
      </c>
      <c r="C142" s="482">
        <v>22.547000000000001</v>
      </c>
      <c r="D142" s="471"/>
      <c r="E142" s="473"/>
      <c r="F142" s="474"/>
      <c r="H142" s="538" t="s">
        <v>252</v>
      </c>
      <c r="I142" s="514">
        <v>43290</v>
      </c>
      <c r="J142" s="511">
        <v>9.7769999999999992</v>
      </c>
      <c r="K142" s="474"/>
    </row>
    <row r="143" spans="2:12">
      <c r="B143" s="537">
        <v>42343</v>
      </c>
      <c r="C143" s="482">
        <v>20.898</v>
      </c>
      <c r="D143" s="473"/>
      <c r="E143" s="473"/>
      <c r="F143" s="474"/>
      <c r="H143" s="533" t="s">
        <v>253</v>
      </c>
      <c r="I143" s="514">
        <v>43291</v>
      </c>
      <c r="J143" s="511">
        <v>9.7189999999999994</v>
      </c>
      <c r="K143" s="474"/>
    </row>
    <row r="144" spans="2:12">
      <c r="B144" s="537">
        <v>42374</v>
      </c>
      <c r="C144" s="539">
        <v>19.55</v>
      </c>
      <c r="D144" s="473"/>
      <c r="E144" s="473"/>
      <c r="F144" s="474"/>
      <c r="H144" s="533" t="s">
        <v>255</v>
      </c>
      <c r="I144" s="514">
        <v>43292</v>
      </c>
      <c r="J144" s="511">
        <v>9.5609999999999999</v>
      </c>
      <c r="K144" s="474"/>
    </row>
    <row r="145" spans="2:42">
      <c r="B145" s="537">
        <v>42405</v>
      </c>
      <c r="C145" s="482">
        <v>13.475999999999999</v>
      </c>
      <c r="D145" s="473"/>
      <c r="E145" s="473"/>
      <c r="F145" s="474"/>
      <c r="H145" s="533" t="s">
        <v>256</v>
      </c>
      <c r="I145" s="514">
        <v>43293</v>
      </c>
      <c r="J145" s="511">
        <v>9.5879999999999992</v>
      </c>
      <c r="K145" s="474"/>
    </row>
    <row r="146" spans="2:42">
      <c r="B146" s="486"/>
      <c r="C146" s="487"/>
      <c r="D146" s="487"/>
      <c r="E146" s="487"/>
      <c r="F146" s="488"/>
      <c r="H146" s="533" t="s">
        <v>257</v>
      </c>
      <c r="I146" s="514">
        <v>43294</v>
      </c>
      <c r="J146" s="511">
        <v>9.6069999999999993</v>
      </c>
      <c r="K146" s="474"/>
    </row>
    <row r="147" spans="2:42">
      <c r="H147" s="533" t="s">
        <v>258</v>
      </c>
      <c r="I147" s="514">
        <v>43297</v>
      </c>
      <c r="J147" s="511">
        <v>10.38</v>
      </c>
      <c r="K147" s="474"/>
    </row>
    <row r="148" spans="2:42" s="1498" customFormat="1">
      <c r="B148" s="468" t="s">
        <v>810</v>
      </c>
      <c r="C148" s="489"/>
      <c r="D148" s="489"/>
      <c r="E148" s="540" t="s">
        <v>418</v>
      </c>
      <c r="F148" s="490"/>
      <c r="G148" s="1444"/>
      <c r="H148" s="533" t="s">
        <v>259</v>
      </c>
      <c r="I148" s="514">
        <v>43298</v>
      </c>
      <c r="J148" s="511">
        <v>10.157999999999999</v>
      </c>
      <c r="K148" s="474"/>
      <c r="L148" s="1444"/>
      <c r="M148" s="1444"/>
      <c r="N148" s="1444"/>
      <c r="O148" s="1444"/>
      <c r="P148" s="1444"/>
      <c r="Q148" s="1444"/>
      <c r="R148" s="1444"/>
      <c r="S148" s="1444"/>
      <c r="T148" s="1444"/>
      <c r="U148" s="1444"/>
      <c r="V148" s="1444"/>
      <c r="W148" s="1444"/>
      <c r="X148" s="1444"/>
      <c r="Y148" s="1444"/>
      <c r="Z148" s="1444"/>
      <c r="AA148" s="1444"/>
      <c r="AB148" s="1444"/>
      <c r="AC148" s="1444"/>
      <c r="AD148" s="1444"/>
      <c r="AE148" s="1444"/>
      <c r="AF148" s="1444"/>
      <c r="AG148" s="1444"/>
      <c r="AH148" s="1444"/>
      <c r="AI148" s="1444"/>
      <c r="AJ148" s="1444"/>
      <c r="AK148" s="1444"/>
      <c r="AL148" s="1444"/>
      <c r="AM148" s="1444"/>
      <c r="AN148" s="1444"/>
      <c r="AO148" s="1444"/>
      <c r="AP148" s="1444"/>
    </row>
    <row r="149" spans="2:42" s="1498" customFormat="1">
      <c r="B149" s="541"/>
      <c r="C149" s="473"/>
      <c r="D149" s="473"/>
      <c r="E149" s="542" t="s">
        <v>419</v>
      </c>
      <c r="F149" s="474"/>
      <c r="G149" s="1444"/>
      <c r="H149" s="533" t="s">
        <v>260</v>
      </c>
      <c r="I149" s="514">
        <v>43299</v>
      </c>
      <c r="J149" s="511">
        <v>10.35</v>
      </c>
      <c r="K149" s="474"/>
      <c r="L149" s="1444"/>
      <c r="M149" s="1444"/>
      <c r="N149" s="1444"/>
      <c r="O149" s="1444"/>
      <c r="P149" s="1444"/>
      <c r="Q149" s="1444"/>
      <c r="R149" s="1444"/>
      <c r="S149" s="1444"/>
      <c r="T149" s="1444"/>
      <c r="U149" s="1444"/>
      <c r="V149" s="1444"/>
      <c r="W149" s="1444"/>
      <c r="X149" s="1444"/>
      <c r="Y149" s="1444"/>
      <c r="Z149" s="1444"/>
      <c r="AA149" s="1444"/>
      <c r="AB149" s="1444"/>
      <c r="AC149" s="1444"/>
      <c r="AD149" s="1444"/>
      <c r="AE149" s="1444"/>
      <c r="AF149" s="1444"/>
      <c r="AG149" s="1444"/>
      <c r="AH149" s="1444"/>
      <c r="AI149" s="1444"/>
      <c r="AJ149" s="1444"/>
      <c r="AK149" s="1444"/>
      <c r="AL149" s="1444"/>
      <c r="AM149" s="1444"/>
      <c r="AN149" s="1444"/>
      <c r="AO149" s="1444"/>
      <c r="AP149" s="1444"/>
    </row>
    <row r="150" spans="2:42">
      <c r="B150" s="1366" t="s">
        <v>794</v>
      </c>
      <c r="C150" s="473"/>
      <c r="D150" s="473"/>
      <c r="E150" s="473"/>
      <c r="F150" s="474"/>
      <c r="H150" s="472"/>
      <c r="I150" s="514">
        <v>43300</v>
      </c>
      <c r="J150" s="511">
        <v>10.324</v>
      </c>
      <c r="K150" s="474"/>
    </row>
    <row r="151" spans="2:42">
      <c r="B151" s="1366" t="s">
        <v>476</v>
      </c>
      <c r="C151" s="473"/>
      <c r="D151" s="473"/>
      <c r="E151" s="473"/>
      <c r="F151" s="474"/>
      <c r="H151" s="472"/>
      <c r="I151" s="514">
        <v>43301</v>
      </c>
      <c r="J151" s="511">
        <v>10.254</v>
      </c>
      <c r="K151" s="474"/>
    </row>
    <row r="152" spans="2:42">
      <c r="B152" s="1367">
        <v>42464.416666666664</v>
      </c>
      <c r="C152" s="473"/>
      <c r="D152" s="473"/>
      <c r="E152" s="473"/>
      <c r="F152" s="474"/>
      <c r="H152" s="472"/>
      <c r="I152" s="514">
        <v>43304</v>
      </c>
      <c r="J152" s="511">
        <v>10.374000000000001</v>
      </c>
      <c r="K152" s="474"/>
    </row>
    <row r="153" spans="2:42">
      <c r="B153" s="1367">
        <v>42464.451388888891</v>
      </c>
      <c r="C153" s="473"/>
      <c r="D153" s="473"/>
      <c r="E153" s="473"/>
      <c r="F153" s="474"/>
      <c r="H153" s="472"/>
      <c r="I153" s="514">
        <v>43305</v>
      </c>
      <c r="J153" s="511">
        <v>10.516</v>
      </c>
      <c r="K153" s="474"/>
    </row>
    <row r="154" spans="2:42">
      <c r="B154" s="1366" t="s">
        <v>811</v>
      </c>
      <c r="C154" s="473"/>
      <c r="D154" s="473"/>
      <c r="E154" s="473"/>
      <c r="F154" s="474"/>
      <c r="H154" s="472"/>
      <c r="I154" s="514">
        <v>43306</v>
      </c>
      <c r="J154" s="511">
        <v>10.352</v>
      </c>
      <c r="K154" s="474"/>
    </row>
    <row r="155" spans="2:42">
      <c r="B155" s="1366" t="s">
        <v>812</v>
      </c>
      <c r="C155" s="471"/>
      <c r="D155" s="471"/>
      <c r="E155" s="473"/>
      <c r="F155" s="474"/>
      <c r="H155" s="472"/>
      <c r="I155" s="514">
        <v>43307</v>
      </c>
      <c r="J155" s="511">
        <v>10.465999999999999</v>
      </c>
      <c r="K155" s="474"/>
    </row>
    <row r="156" spans="2:42">
      <c r="B156" s="541"/>
      <c r="C156" s="499" t="s">
        <v>999</v>
      </c>
      <c r="D156" s="473"/>
      <c r="E156" s="473"/>
      <c r="F156" s="474"/>
      <c r="H156" s="472"/>
      <c r="I156" s="514">
        <v>43308</v>
      </c>
      <c r="J156" s="511">
        <v>10.598000000000001</v>
      </c>
      <c r="K156" s="474"/>
    </row>
    <row r="157" spans="2:42">
      <c r="B157" s="543" t="e">
        <f>_xll.BDH(B150,B151,B152,B153,B154,B155)</f>
        <v>#N/A</v>
      </c>
      <c r="C157" s="482"/>
      <c r="D157" s="473"/>
      <c r="E157" s="473"/>
      <c r="F157" s="474"/>
      <c r="H157" s="472"/>
      <c r="I157" s="514">
        <v>43311</v>
      </c>
      <c r="J157" s="511">
        <v>10.917999999999999</v>
      </c>
      <c r="K157" s="474"/>
    </row>
    <row r="158" spans="2:42">
      <c r="B158" s="544"/>
      <c r="C158" s="482"/>
      <c r="D158" s="473"/>
      <c r="E158" s="473"/>
      <c r="F158" s="474"/>
      <c r="H158" s="472"/>
      <c r="I158" s="514">
        <v>43312</v>
      </c>
      <c r="J158" s="511">
        <v>11.183999999999999</v>
      </c>
      <c r="K158" s="474"/>
    </row>
    <row r="159" spans="2:42">
      <c r="B159" s="544"/>
      <c r="C159" s="482"/>
      <c r="D159" s="473"/>
      <c r="E159" s="473"/>
      <c r="F159" s="474"/>
      <c r="H159" s="472"/>
      <c r="I159" s="514">
        <v>43313</v>
      </c>
      <c r="J159" s="511">
        <v>11.116</v>
      </c>
      <c r="K159" s="474"/>
    </row>
    <row r="160" spans="2:42">
      <c r="B160" s="544"/>
      <c r="C160" s="482"/>
      <c r="D160" s="473"/>
      <c r="E160" s="473"/>
      <c r="F160" s="474"/>
      <c r="H160" s="472"/>
      <c r="I160" s="514">
        <v>43314</v>
      </c>
      <c r="J160" s="511">
        <v>10.794</v>
      </c>
      <c r="K160" s="474"/>
    </row>
    <row r="161" spans="2:11">
      <c r="B161" s="544"/>
      <c r="C161" s="482"/>
      <c r="D161" s="473"/>
      <c r="E161" s="473"/>
      <c r="F161" s="474"/>
      <c r="G161" s="1428"/>
      <c r="H161" s="472"/>
      <c r="I161" s="514">
        <v>43315</v>
      </c>
      <c r="J161" s="511">
        <v>10.802</v>
      </c>
      <c r="K161" s="474"/>
    </row>
    <row r="162" spans="2:11">
      <c r="B162" s="545"/>
      <c r="C162" s="507"/>
      <c r="D162" s="487"/>
      <c r="E162" s="487"/>
      <c r="F162" s="488"/>
      <c r="G162" s="1428"/>
      <c r="H162" s="472"/>
      <c r="I162" s="514">
        <v>43318</v>
      </c>
      <c r="J162" s="511">
        <v>10.811999999999999</v>
      </c>
      <c r="K162" s="474"/>
    </row>
    <row r="163" spans="2:11">
      <c r="G163" s="1428"/>
      <c r="H163" s="472"/>
      <c r="I163" s="514">
        <v>43319</v>
      </c>
      <c r="J163" s="511">
        <v>10.896000000000001</v>
      </c>
      <c r="K163" s="474"/>
    </row>
    <row r="164" spans="2:11">
      <c r="B164" s="468" t="s">
        <v>813</v>
      </c>
      <c r="C164" s="517"/>
      <c r="D164" s="489"/>
      <c r="E164" s="540" t="s">
        <v>418</v>
      </c>
      <c r="F164" s="490"/>
      <c r="G164" s="1428"/>
      <c r="H164" s="472"/>
      <c r="I164" s="514">
        <v>43320</v>
      </c>
      <c r="J164" s="511">
        <v>10.776</v>
      </c>
      <c r="K164" s="474"/>
    </row>
    <row r="165" spans="2:11">
      <c r="B165" s="472"/>
      <c r="C165" s="485"/>
      <c r="D165" s="473"/>
      <c r="E165" s="542" t="s">
        <v>419</v>
      </c>
      <c r="F165" s="474"/>
      <c r="G165" s="1428"/>
      <c r="H165" s="472"/>
      <c r="I165" s="514">
        <v>43321</v>
      </c>
      <c r="J165" s="511">
        <v>10.742000000000001</v>
      </c>
      <c r="K165" s="474"/>
    </row>
    <row r="166" spans="2:11">
      <c r="B166" s="1368" t="s">
        <v>814</v>
      </c>
      <c r="C166" s="485"/>
      <c r="D166" s="473"/>
      <c r="E166" s="473"/>
      <c r="F166" s="474"/>
      <c r="G166" s="1428"/>
      <c r="H166" s="472"/>
      <c r="I166" s="514">
        <v>43322</v>
      </c>
      <c r="J166" s="511">
        <v>10.324</v>
      </c>
      <c r="K166" s="474"/>
    </row>
    <row r="167" spans="2:11">
      <c r="B167" s="1368" t="s">
        <v>476</v>
      </c>
      <c r="C167" s="473"/>
      <c r="D167" s="473"/>
      <c r="E167" s="473"/>
      <c r="F167" s="474"/>
      <c r="G167" s="1428"/>
      <c r="H167" s="472"/>
      <c r="I167" s="514">
        <v>43325</v>
      </c>
      <c r="J167" s="511">
        <v>10.061999999999999</v>
      </c>
      <c r="K167" s="474"/>
    </row>
    <row r="168" spans="2:11">
      <c r="B168" s="1362">
        <v>42464</v>
      </c>
      <c r="C168" s="1370">
        <v>0.5</v>
      </c>
      <c r="D168" s="473" t="s">
        <v>821</v>
      </c>
      <c r="E168" s="473"/>
      <c r="F168" s="474"/>
      <c r="G168" s="1428"/>
      <c r="H168" s="472"/>
      <c r="I168" s="514">
        <v>43326</v>
      </c>
      <c r="J168" s="511">
        <v>10.096</v>
      </c>
      <c r="K168" s="474"/>
    </row>
    <row r="169" spans="2:11">
      <c r="B169" s="1362">
        <v>42464</v>
      </c>
      <c r="C169" s="1370">
        <v>0.51736111111111105</v>
      </c>
      <c r="D169" s="473" t="s">
        <v>822</v>
      </c>
      <c r="E169" s="473"/>
      <c r="F169" s="474"/>
      <c r="G169" s="1428"/>
      <c r="H169" s="472"/>
      <c r="I169" s="514">
        <v>43327</v>
      </c>
      <c r="J169" s="511">
        <v>9.8330000000000002</v>
      </c>
      <c r="K169" s="474"/>
    </row>
    <row r="170" spans="2:11">
      <c r="B170" s="1369" t="s">
        <v>815</v>
      </c>
      <c r="C170" s="1365">
        <v>5</v>
      </c>
      <c r="D170" s="473" t="s">
        <v>819</v>
      </c>
      <c r="E170" s="473"/>
      <c r="F170" s="474"/>
      <c r="G170" s="1428"/>
      <c r="H170" s="472"/>
      <c r="I170" s="514">
        <v>43328</v>
      </c>
      <c r="J170" s="511">
        <v>9.8610000000000007</v>
      </c>
      <c r="K170" s="474"/>
    </row>
    <row r="171" spans="2:11">
      <c r="B171" s="1369" t="s">
        <v>816</v>
      </c>
      <c r="C171" s="1365" t="s">
        <v>817</v>
      </c>
      <c r="D171" s="473" t="s">
        <v>820</v>
      </c>
      <c r="E171" s="473"/>
      <c r="F171" s="474"/>
      <c r="G171" s="1428"/>
      <c r="H171" s="472"/>
      <c r="I171" s="514">
        <v>43329</v>
      </c>
      <c r="J171" s="511">
        <v>9.7769999999999992</v>
      </c>
      <c r="K171" s="474"/>
    </row>
    <row r="172" spans="2:11">
      <c r="B172" s="546"/>
      <c r="C172" s="534"/>
      <c r="D172" s="473"/>
      <c r="E172" s="473"/>
      <c r="F172" s="474"/>
      <c r="G172" s="1428"/>
      <c r="H172" s="472"/>
      <c r="I172" s="514">
        <v>43332</v>
      </c>
      <c r="J172" s="511">
        <v>9.7710000000000008</v>
      </c>
      <c r="K172" s="474"/>
    </row>
    <row r="173" spans="2:11">
      <c r="B173" s="547"/>
      <c r="C173" s="471"/>
      <c r="D173" s="473"/>
      <c r="E173" s="473"/>
      <c r="F173" s="474"/>
      <c r="G173" s="1428"/>
      <c r="H173" s="472"/>
      <c r="I173" s="514">
        <v>43333</v>
      </c>
      <c r="J173" s="511">
        <v>9.9700000000000006</v>
      </c>
      <c r="K173" s="474"/>
    </row>
    <row r="174" spans="2:11">
      <c r="B174" s="472"/>
      <c r="C174" s="548" t="s">
        <v>1000</v>
      </c>
      <c r="D174" s="473"/>
      <c r="E174" s="473"/>
      <c r="F174" s="474"/>
      <c r="G174" s="1428"/>
      <c r="H174" s="472"/>
      <c r="I174" s="514">
        <v>43334</v>
      </c>
      <c r="J174" s="511">
        <v>10</v>
      </c>
      <c r="K174" s="474"/>
    </row>
    <row r="175" spans="2:11">
      <c r="B175" s="549" t="e">
        <f>_xll.BDH(B166,B167,B168+C168,B169+C169,B170,C170,B171,C171)</f>
        <v>#N/A</v>
      </c>
      <c r="C175" s="482"/>
      <c r="D175" s="473"/>
      <c r="E175" s="473"/>
      <c r="F175" s="474"/>
      <c r="G175" s="1428"/>
      <c r="H175" s="472"/>
      <c r="I175" s="514">
        <v>43335</v>
      </c>
      <c r="J175" s="511">
        <v>9.8109999999999999</v>
      </c>
      <c r="K175" s="474"/>
    </row>
    <row r="176" spans="2:11">
      <c r="B176" s="550"/>
      <c r="C176" s="482"/>
      <c r="D176" s="473"/>
      <c r="E176" s="473"/>
      <c r="F176" s="474"/>
      <c r="G176" s="1428"/>
      <c r="H176" s="472"/>
      <c r="I176" s="514">
        <v>43336</v>
      </c>
      <c r="J176" s="511">
        <v>9.8010000000000002</v>
      </c>
      <c r="K176" s="474"/>
    </row>
    <row r="177" spans="2:11">
      <c r="B177" s="550"/>
      <c r="C177" s="482"/>
      <c r="D177" s="473"/>
      <c r="E177" s="473"/>
      <c r="F177" s="474"/>
      <c r="G177" s="1428"/>
      <c r="H177" s="472"/>
      <c r="I177" s="514">
        <v>43339</v>
      </c>
      <c r="J177" s="511">
        <v>10.028</v>
      </c>
      <c r="K177" s="474"/>
    </row>
    <row r="178" spans="2:11">
      <c r="B178" s="550"/>
      <c r="C178" s="482"/>
      <c r="D178" s="473"/>
      <c r="E178" s="473"/>
      <c r="F178" s="474"/>
      <c r="G178" s="1428"/>
      <c r="H178" s="472"/>
      <c r="I178" s="514">
        <v>43340</v>
      </c>
      <c r="J178" s="511">
        <v>9.8640000000000008</v>
      </c>
      <c r="K178" s="474"/>
    </row>
    <row r="179" spans="2:11">
      <c r="B179" s="550"/>
      <c r="C179" s="482"/>
      <c r="D179" s="473"/>
      <c r="E179" s="473"/>
      <c r="F179" s="474"/>
      <c r="G179" s="1428"/>
      <c r="H179" s="472"/>
      <c r="I179" s="514">
        <v>43341</v>
      </c>
      <c r="J179" s="511">
        <v>9.952</v>
      </c>
      <c r="K179" s="474"/>
    </row>
    <row r="180" spans="2:11">
      <c r="B180" s="551"/>
      <c r="C180" s="552"/>
      <c r="D180" s="487"/>
      <c r="E180" s="487"/>
      <c r="F180" s="488"/>
      <c r="G180" s="1428"/>
      <c r="H180" s="472"/>
      <c r="I180" s="514">
        <v>43342</v>
      </c>
      <c r="J180" s="511">
        <v>9.7279999999999998</v>
      </c>
      <c r="K180" s="474"/>
    </row>
    <row r="181" spans="2:11">
      <c r="G181" s="1428"/>
      <c r="H181" s="472"/>
      <c r="I181" s="514">
        <v>43343</v>
      </c>
      <c r="J181" s="511">
        <v>9.69</v>
      </c>
      <c r="K181" s="474"/>
    </row>
    <row r="182" spans="2:11">
      <c r="B182" s="468" t="s">
        <v>412</v>
      </c>
      <c r="C182" s="489"/>
      <c r="D182" s="489"/>
      <c r="E182" s="489"/>
      <c r="F182" s="490"/>
      <c r="H182" s="472"/>
      <c r="I182" s="514">
        <v>43346</v>
      </c>
      <c r="J182" s="511">
        <v>9.7530000000000001</v>
      </c>
      <c r="K182" s="474"/>
    </row>
    <row r="183" spans="2:11">
      <c r="B183" s="472"/>
      <c r="C183" s="473"/>
      <c r="D183" s="473"/>
      <c r="E183" s="473"/>
      <c r="F183" s="474"/>
      <c r="H183" s="472"/>
      <c r="I183" s="514">
        <v>43347</v>
      </c>
      <c r="J183" s="511">
        <v>9.8420000000000005</v>
      </c>
      <c r="K183" s="474"/>
    </row>
    <row r="184" spans="2:11">
      <c r="B184" s="472" t="s">
        <v>401</v>
      </c>
      <c r="C184" s="473"/>
      <c r="D184" s="473"/>
      <c r="E184" s="473"/>
      <c r="F184" s="474"/>
      <c r="H184" s="472"/>
      <c r="I184" s="514">
        <v>43348</v>
      </c>
      <c r="J184" s="511">
        <v>9.8800000000000008</v>
      </c>
      <c r="K184" s="474"/>
    </row>
    <row r="185" spans="2:11">
      <c r="B185" s="472" t="s">
        <v>402</v>
      </c>
      <c r="C185" s="473"/>
      <c r="D185" s="473"/>
      <c r="E185" s="473"/>
      <c r="F185" s="474"/>
      <c r="H185" s="472"/>
      <c r="I185" s="514">
        <v>43349</v>
      </c>
      <c r="J185" s="511">
        <v>9.7650000000000006</v>
      </c>
      <c r="K185" s="474"/>
    </row>
    <row r="186" spans="2:11">
      <c r="B186" s="472" t="s">
        <v>403</v>
      </c>
      <c r="C186" s="473"/>
      <c r="D186" s="473"/>
      <c r="E186" s="473"/>
      <c r="F186" s="474"/>
      <c r="H186" s="472"/>
      <c r="I186" s="514">
        <v>43350</v>
      </c>
      <c r="J186" s="511">
        <v>9.6</v>
      </c>
      <c r="K186" s="474"/>
    </row>
    <row r="187" spans="2:11">
      <c r="B187" s="472"/>
      <c r="C187" s="473"/>
      <c r="D187" s="473"/>
      <c r="E187" s="553" t="s">
        <v>404</v>
      </c>
      <c r="F187" s="451" t="s">
        <v>408</v>
      </c>
      <c r="H187" s="472"/>
      <c r="I187" s="514">
        <v>43353</v>
      </c>
      <c r="J187" s="511">
        <v>9.5850000000000009</v>
      </c>
      <c r="K187" s="474"/>
    </row>
    <row r="188" spans="2:11">
      <c r="B188" s="1368" t="s">
        <v>387</v>
      </c>
      <c r="C188" s="1371" t="e">
        <f ca="1">_xll.BToday()-25</f>
        <v>#NAME?</v>
      </c>
      <c r="D188" s="705"/>
      <c r="E188" s="553" t="s">
        <v>405</v>
      </c>
      <c r="F188" s="452" t="s">
        <v>409</v>
      </c>
      <c r="H188" s="472"/>
      <c r="I188" s="514">
        <v>43354</v>
      </c>
      <c r="J188" s="511">
        <v>9.67</v>
      </c>
      <c r="K188" s="474"/>
    </row>
    <row r="189" spans="2:11">
      <c r="B189" s="1368" t="s">
        <v>388</v>
      </c>
      <c r="C189" s="1371" t="e">
        <f ca="1">_xll.BToday()</f>
        <v>#NAME?</v>
      </c>
      <c r="D189" s="705"/>
      <c r="E189" s="553" t="s">
        <v>406</v>
      </c>
      <c r="F189" s="452" t="s">
        <v>409</v>
      </c>
      <c r="H189" s="472"/>
      <c r="I189" s="514">
        <v>43355</v>
      </c>
      <c r="J189" s="511">
        <v>9.64</v>
      </c>
      <c r="K189" s="474"/>
    </row>
    <row r="190" spans="2:11">
      <c r="B190" s="1368" t="s">
        <v>632</v>
      </c>
      <c r="C190" s="1372" t="s">
        <v>400</v>
      </c>
      <c r="D190" s="553"/>
      <c r="E190" s="473" t="s">
        <v>407</v>
      </c>
      <c r="F190" s="451" t="s">
        <v>408</v>
      </c>
      <c r="H190" s="472"/>
      <c r="I190" s="514">
        <v>43356</v>
      </c>
      <c r="J190" s="511">
        <v>9.7279999999999998</v>
      </c>
      <c r="K190" s="474"/>
    </row>
    <row r="191" spans="2:11">
      <c r="B191" s="472"/>
      <c r="C191" s="473"/>
      <c r="D191" s="473"/>
      <c r="E191" s="473"/>
      <c r="F191" s="474"/>
      <c r="H191" s="472"/>
      <c r="I191" s="514">
        <v>43357</v>
      </c>
      <c r="J191" s="511">
        <v>9.8060000000000009</v>
      </c>
      <c r="K191" s="474"/>
    </row>
    <row r="192" spans="2:11" ht="15" customHeight="1">
      <c r="B192" s="549" t="s">
        <v>410</v>
      </c>
      <c r="C192" s="473"/>
      <c r="D192" s="554" t="s">
        <v>411</v>
      </c>
      <c r="E192" s="473"/>
      <c r="F192" s="474"/>
      <c r="H192" s="472"/>
      <c r="I192" s="514">
        <v>43360</v>
      </c>
      <c r="J192" s="511">
        <v>9.8550000000000004</v>
      </c>
      <c r="K192" s="474"/>
    </row>
    <row r="193" spans="2:11" ht="15" customHeight="1">
      <c r="B193" s="472"/>
      <c r="C193" s="1372" t="s">
        <v>397</v>
      </c>
      <c r="D193" s="1372" t="s">
        <v>399</v>
      </c>
      <c r="E193" s="473"/>
      <c r="F193" s="474"/>
      <c r="H193" s="472"/>
      <c r="I193" s="514">
        <v>43361</v>
      </c>
      <c r="J193" s="511">
        <v>9.92</v>
      </c>
      <c r="K193" s="474"/>
    </row>
    <row r="194" spans="2:11" ht="15" customHeight="1">
      <c r="B194" s="472"/>
      <c r="C194" s="1372" t="s">
        <v>398</v>
      </c>
      <c r="D194" s="1372" t="s">
        <v>398</v>
      </c>
      <c r="E194" s="473"/>
      <c r="F194" s="474"/>
      <c r="H194" s="472"/>
      <c r="I194" s="514">
        <v>43362</v>
      </c>
      <c r="J194" s="511">
        <v>10.228</v>
      </c>
      <c r="K194" s="474"/>
    </row>
    <row r="195" spans="2:11" ht="15" customHeight="1">
      <c r="B195" s="527" t="e">
        <f ca="1">_xll.BDH(C193,C194,C188,C189,B190,C190)</f>
        <v>#NAME?</v>
      </c>
      <c r="C195" s="555"/>
      <c r="D195" s="556" t="e">
        <f ca="1">_xll.BDH(D193,D194,C188,C189,B190,C190,"DATES=H")</f>
        <v>#NAME?</v>
      </c>
      <c r="E195" s="473"/>
      <c r="F195" s="474"/>
      <c r="H195" s="472"/>
      <c r="I195" s="514">
        <v>43363</v>
      </c>
      <c r="J195" s="511">
        <v>10.4</v>
      </c>
      <c r="K195" s="474"/>
    </row>
    <row r="196" spans="2:11" ht="15" customHeight="1">
      <c r="B196" s="557"/>
      <c r="C196" s="555"/>
      <c r="D196" s="555"/>
      <c r="E196" s="473"/>
      <c r="F196" s="474"/>
      <c r="H196" s="472"/>
      <c r="I196" s="514">
        <v>43364</v>
      </c>
      <c r="J196" s="511">
        <v>10.5</v>
      </c>
      <c r="K196" s="474"/>
    </row>
    <row r="197" spans="2:11" ht="15" customHeight="1">
      <c r="B197" s="557"/>
      <c r="C197" s="555"/>
      <c r="D197" s="555"/>
      <c r="E197" s="473"/>
      <c r="F197" s="558"/>
      <c r="G197" s="1484"/>
      <c r="H197" s="472"/>
      <c r="I197" s="514">
        <v>43367</v>
      </c>
      <c r="J197" s="511">
        <v>10.414</v>
      </c>
      <c r="K197" s="474"/>
    </row>
    <row r="198" spans="2:11">
      <c r="B198" s="557"/>
      <c r="C198" s="555"/>
      <c r="D198" s="555"/>
      <c r="E198" s="473"/>
      <c r="F198" s="558"/>
      <c r="G198" s="1484"/>
      <c r="H198" s="472"/>
      <c r="I198" s="514">
        <v>43368</v>
      </c>
      <c r="J198" s="511">
        <v>10.327999999999999</v>
      </c>
      <c r="K198" s="474"/>
    </row>
    <row r="199" spans="2:11">
      <c r="B199" s="557"/>
      <c r="C199" s="555"/>
      <c r="D199" s="555"/>
      <c r="E199" s="473"/>
      <c r="F199" s="558"/>
      <c r="G199" s="1484"/>
      <c r="H199" s="472"/>
      <c r="I199" s="514">
        <v>43369</v>
      </c>
      <c r="J199" s="511">
        <v>10.148</v>
      </c>
      <c r="K199" s="474"/>
    </row>
    <row r="200" spans="2:11">
      <c r="B200" s="557"/>
      <c r="C200" s="555"/>
      <c r="D200" s="555"/>
      <c r="E200" s="473"/>
      <c r="F200" s="558"/>
      <c r="G200" s="1484"/>
      <c r="H200" s="472"/>
      <c r="I200" s="514">
        <v>43370</v>
      </c>
      <c r="J200" s="511">
        <v>10.135999999999999</v>
      </c>
      <c r="K200" s="474"/>
    </row>
    <row r="201" spans="2:11">
      <c r="B201" s="557"/>
      <c r="C201" s="555"/>
      <c r="D201" s="555"/>
      <c r="E201" s="473"/>
      <c r="F201" s="558"/>
      <c r="G201" s="1484"/>
      <c r="H201" s="472"/>
      <c r="I201" s="514">
        <v>43371</v>
      </c>
      <c r="J201" s="511">
        <v>9.7639999999999993</v>
      </c>
      <c r="K201" s="474"/>
    </row>
    <row r="202" spans="2:11">
      <c r="B202" s="557"/>
      <c r="C202" s="555"/>
      <c r="D202" s="555"/>
      <c r="E202" s="473"/>
      <c r="F202" s="558"/>
      <c r="G202" s="1484"/>
      <c r="H202" s="472"/>
      <c r="I202" s="514">
        <v>43374</v>
      </c>
      <c r="J202" s="511">
        <v>9.7279999999999998</v>
      </c>
      <c r="K202" s="474"/>
    </row>
    <row r="203" spans="2:11">
      <c r="B203" s="557"/>
      <c r="C203" s="555"/>
      <c r="D203" s="555"/>
      <c r="E203" s="473"/>
      <c r="F203" s="558"/>
      <c r="G203" s="1484"/>
      <c r="H203" s="472"/>
      <c r="I203" s="514">
        <v>43375</v>
      </c>
      <c r="J203" s="511">
        <v>9.6229999999999993</v>
      </c>
      <c r="K203" s="474"/>
    </row>
    <row r="204" spans="2:11">
      <c r="B204" s="557"/>
      <c r="C204" s="555"/>
      <c r="D204" s="555"/>
      <c r="E204" s="473"/>
      <c r="F204" s="558"/>
      <c r="G204" s="1484"/>
      <c r="H204" s="472"/>
      <c r="I204" s="514">
        <v>43376</v>
      </c>
      <c r="J204" s="511">
        <v>9.7349999999999994</v>
      </c>
      <c r="K204" s="474"/>
    </row>
    <row r="205" spans="2:11">
      <c r="B205" s="557"/>
      <c r="C205" s="555"/>
      <c r="D205" s="555"/>
      <c r="E205" s="473"/>
      <c r="F205" s="558"/>
      <c r="G205" s="1484"/>
      <c r="H205" s="472"/>
      <c r="I205" s="514">
        <v>43377</v>
      </c>
      <c r="J205" s="511">
        <v>9.7170000000000005</v>
      </c>
      <c r="K205" s="474"/>
    </row>
    <row r="206" spans="2:11">
      <c r="B206" s="557"/>
      <c r="C206" s="555"/>
      <c r="D206" s="555"/>
      <c r="E206" s="473"/>
      <c r="F206" s="558"/>
      <c r="G206" s="1484"/>
      <c r="H206" s="472"/>
      <c r="I206" s="514">
        <v>43378</v>
      </c>
      <c r="J206" s="511">
        <v>9.6739999999999995</v>
      </c>
      <c r="K206" s="474"/>
    </row>
    <row r="207" spans="2:11">
      <c r="B207" s="557"/>
      <c r="C207" s="555"/>
      <c r="D207" s="555"/>
      <c r="E207" s="473"/>
      <c r="F207" s="558"/>
      <c r="G207" s="1484"/>
      <c r="H207" s="472"/>
      <c r="I207" s="514">
        <v>43381</v>
      </c>
      <c r="J207" s="511">
        <v>9.5879999999999992</v>
      </c>
      <c r="K207" s="474"/>
    </row>
    <row r="208" spans="2:11">
      <c r="B208" s="557"/>
      <c r="C208" s="555"/>
      <c r="D208" s="555"/>
      <c r="E208" s="473"/>
      <c r="F208" s="558"/>
      <c r="G208" s="1484"/>
      <c r="H208" s="472"/>
      <c r="I208" s="514">
        <v>43382</v>
      </c>
      <c r="J208" s="511">
        <v>9.5950000000000006</v>
      </c>
      <c r="K208" s="474"/>
    </row>
    <row r="209" spans="2:11">
      <c r="B209" s="557"/>
      <c r="C209" s="555"/>
      <c r="D209" s="555"/>
      <c r="E209" s="473"/>
      <c r="F209" s="558"/>
      <c r="G209" s="1484"/>
      <c r="H209" s="472"/>
      <c r="I209" s="514">
        <v>43383</v>
      </c>
      <c r="J209" s="511">
        <v>9.484</v>
      </c>
      <c r="K209" s="474"/>
    </row>
    <row r="210" spans="2:11">
      <c r="B210" s="557"/>
      <c r="C210" s="555"/>
      <c r="D210" s="555"/>
      <c r="E210" s="473"/>
      <c r="F210" s="558"/>
      <c r="G210" s="1484"/>
      <c r="H210" s="472"/>
      <c r="I210" s="514">
        <v>43384</v>
      </c>
      <c r="J210" s="511">
        <v>9.35</v>
      </c>
      <c r="K210" s="474"/>
    </row>
    <row r="211" spans="2:11">
      <c r="B211" s="557"/>
      <c r="C211" s="555"/>
      <c r="D211" s="555"/>
      <c r="E211" s="473"/>
      <c r="F211" s="558"/>
      <c r="G211" s="1484"/>
      <c r="H211" s="472"/>
      <c r="I211" s="514">
        <v>43385</v>
      </c>
      <c r="J211" s="511">
        <v>9.3789999999999996</v>
      </c>
      <c r="K211" s="474"/>
    </row>
    <row r="212" spans="2:11">
      <c r="B212" s="557"/>
      <c r="C212" s="555"/>
      <c r="D212" s="555"/>
      <c r="E212" s="473"/>
      <c r="F212" s="558"/>
      <c r="G212" s="1484"/>
      <c r="H212" s="472"/>
      <c r="I212" s="514">
        <v>43388</v>
      </c>
      <c r="J212" s="511">
        <v>9.5359999999999996</v>
      </c>
      <c r="K212" s="474"/>
    </row>
    <row r="213" spans="2:11">
      <c r="B213" s="557"/>
      <c r="C213" s="482"/>
      <c r="D213" s="475"/>
      <c r="E213" s="473"/>
      <c r="F213" s="474"/>
      <c r="G213" s="1484"/>
      <c r="H213" s="472"/>
      <c r="I213" s="514">
        <v>43389</v>
      </c>
      <c r="J213" s="511">
        <v>9.6519999999999992</v>
      </c>
      <c r="K213" s="474"/>
    </row>
    <row r="214" spans="2:11">
      <c r="B214" s="530"/>
      <c r="C214" s="475"/>
      <c r="D214" s="475"/>
      <c r="E214" s="473"/>
      <c r="F214" s="474"/>
      <c r="G214" s="1484"/>
      <c r="H214" s="472"/>
      <c r="I214" s="514"/>
      <c r="J214" s="511"/>
      <c r="K214" s="474"/>
    </row>
    <row r="215" spans="2:11">
      <c r="B215" s="531"/>
      <c r="C215" s="487"/>
      <c r="D215" s="487"/>
      <c r="E215" s="487"/>
      <c r="F215" s="488"/>
      <c r="G215" s="1484"/>
      <c r="H215" s="472"/>
      <c r="I215" s="514"/>
      <c r="J215" s="511"/>
      <c r="K215" s="474"/>
    </row>
    <row r="216" spans="2:11">
      <c r="B216" s="1484"/>
      <c r="G216" s="1484"/>
      <c r="H216" s="472"/>
      <c r="I216" s="514"/>
      <c r="J216" s="511"/>
      <c r="K216" s="474"/>
    </row>
    <row r="217" spans="2:11">
      <c r="B217" s="468" t="s">
        <v>1242</v>
      </c>
      <c r="C217" s="489"/>
      <c r="D217" s="489"/>
      <c r="E217" s="489"/>
      <c r="F217" s="490"/>
      <c r="H217" s="472"/>
      <c r="I217" s="514"/>
      <c r="J217" s="511"/>
      <c r="K217" s="474"/>
    </row>
    <row r="218" spans="2:11">
      <c r="B218" s="472"/>
      <c r="C218" s="473"/>
      <c r="D218" s="473"/>
      <c r="E218" s="559"/>
      <c r="F218" s="560"/>
      <c r="H218" s="472"/>
      <c r="I218" s="514"/>
      <c r="J218" s="511"/>
      <c r="K218" s="474"/>
    </row>
    <row r="219" spans="2:11">
      <c r="B219" s="1368" t="s">
        <v>387</v>
      </c>
      <c r="C219" s="1363">
        <v>40664</v>
      </c>
      <c r="D219" s="553"/>
      <c r="E219" s="559"/>
      <c r="F219" s="561"/>
      <c r="H219" s="472"/>
      <c r="I219" s="514"/>
      <c r="J219" s="511"/>
      <c r="K219" s="474"/>
    </row>
    <row r="220" spans="2:11">
      <c r="B220" s="1368" t="s">
        <v>388</v>
      </c>
      <c r="C220" s="1363">
        <v>40694</v>
      </c>
      <c r="D220" s="553"/>
      <c r="E220" s="559"/>
      <c r="F220" s="561"/>
      <c r="H220" s="472"/>
      <c r="I220" s="514"/>
      <c r="J220" s="511"/>
      <c r="K220" s="474"/>
    </row>
    <row r="221" spans="2:11">
      <c r="B221" s="1368" t="s">
        <v>632</v>
      </c>
      <c r="C221" s="1372" t="s">
        <v>1243</v>
      </c>
      <c r="D221" s="553"/>
      <c r="E221" s="473"/>
      <c r="F221" s="560"/>
      <c r="H221" s="472"/>
      <c r="I221" s="514"/>
      <c r="J221" s="511"/>
      <c r="K221" s="474"/>
    </row>
    <row r="222" spans="2:11">
      <c r="B222" s="1368" t="s">
        <v>1244</v>
      </c>
      <c r="C222" s="1372" t="s">
        <v>817</v>
      </c>
      <c r="D222" s="553"/>
      <c r="E222" s="473"/>
      <c r="F222" s="474"/>
      <c r="H222" s="472"/>
      <c r="I222" s="514"/>
      <c r="J222" s="511"/>
      <c r="K222" s="474"/>
    </row>
    <row r="223" spans="2:11">
      <c r="B223" s="472"/>
      <c r="C223" s="473"/>
      <c r="D223" s="473"/>
      <c r="E223" s="473"/>
      <c r="F223" s="474"/>
      <c r="H223" s="472"/>
      <c r="I223" s="514"/>
      <c r="J223" s="511"/>
      <c r="K223" s="474"/>
    </row>
    <row r="224" spans="2:11">
      <c r="B224" s="549" t="s">
        <v>1245</v>
      </c>
      <c r="C224" s="473"/>
      <c r="D224" s="554" t="s">
        <v>1246</v>
      </c>
      <c r="E224" s="473"/>
      <c r="F224" s="474"/>
      <c r="H224" s="472"/>
      <c r="I224" s="514"/>
      <c r="J224" s="511"/>
      <c r="K224" s="474"/>
    </row>
    <row r="225" spans="2:11">
      <c r="B225" s="549" t="s">
        <v>1247</v>
      </c>
      <c r="C225" s="473"/>
      <c r="D225" s="554" t="s">
        <v>1248</v>
      </c>
      <c r="E225" s="473"/>
      <c r="F225" s="474"/>
      <c r="H225" s="472"/>
      <c r="I225" s="514"/>
      <c r="J225" s="511"/>
      <c r="K225" s="474"/>
    </row>
    <row r="226" spans="2:11">
      <c r="B226" s="530"/>
      <c r="C226" s="1372" t="s">
        <v>397</v>
      </c>
      <c r="D226" s="1372" t="s">
        <v>399</v>
      </c>
      <c r="E226" s="473"/>
      <c r="F226" s="474"/>
      <c r="H226" s="472"/>
      <c r="I226" s="514"/>
      <c r="J226" s="511"/>
      <c r="K226" s="474"/>
    </row>
    <row r="227" spans="2:11">
      <c r="B227" s="530"/>
      <c r="C227" s="1372" t="s">
        <v>398</v>
      </c>
      <c r="D227" s="1372" t="s">
        <v>398</v>
      </c>
      <c r="E227" s="473"/>
      <c r="F227" s="474"/>
      <c r="H227" s="472"/>
      <c r="I227" s="514"/>
      <c r="J227" s="511"/>
      <c r="K227" s="474"/>
    </row>
    <row r="228" spans="2:11">
      <c r="B228" s="1373">
        <f>_xll.BDH(C226,C227,C219,C220,B221:B222,C221:C222,"cols=2;rows=22")</f>
        <v>40665</v>
      </c>
      <c r="C228" s="1500">
        <v>9964.39</v>
      </c>
      <c r="D228" s="1501">
        <f>_xll.BDH(D226,D227,C219,C220,B221:B222,C221:C222,"DATES=H","cols=1;rows=22")</f>
        <v>291.93</v>
      </c>
      <c r="E228" s="473"/>
      <c r="F228" s="474"/>
      <c r="H228" s="472"/>
      <c r="I228" s="514"/>
      <c r="J228" s="511"/>
      <c r="K228" s="474"/>
    </row>
    <row r="229" spans="2:11">
      <c r="B229" s="1502">
        <v>40666</v>
      </c>
      <c r="C229" s="1503"/>
      <c r="D229" s="1504">
        <v>294.85000000000002</v>
      </c>
      <c r="E229" s="1078" t="s">
        <v>413</v>
      </c>
      <c r="F229" s="1079"/>
      <c r="H229" s="472"/>
      <c r="I229" s="514"/>
      <c r="J229" s="511"/>
      <c r="K229" s="474"/>
    </row>
    <row r="230" spans="2:11">
      <c r="B230" s="1505">
        <v>40667</v>
      </c>
      <c r="C230" s="1503"/>
      <c r="D230" s="1504">
        <v>290.87</v>
      </c>
      <c r="E230" s="1080" t="s">
        <v>414</v>
      </c>
      <c r="F230" s="1081"/>
      <c r="H230" s="472"/>
      <c r="I230" s="514"/>
      <c r="J230" s="511"/>
      <c r="K230" s="474"/>
    </row>
    <row r="231" spans="2:11">
      <c r="B231" s="1505">
        <v>40668</v>
      </c>
      <c r="C231" s="1503"/>
      <c r="D231" s="1504"/>
      <c r="E231" s="1082" t="s">
        <v>415</v>
      </c>
      <c r="F231" s="1083"/>
      <c r="H231" s="472"/>
      <c r="I231" s="514"/>
      <c r="J231" s="511"/>
      <c r="K231" s="474"/>
    </row>
    <row r="232" spans="2:11">
      <c r="B232" s="1505">
        <v>40669</v>
      </c>
      <c r="C232" s="1503">
        <v>9851.15</v>
      </c>
      <c r="D232" s="1504">
        <v>284.54000000000002</v>
      </c>
      <c r="E232" s="473"/>
      <c r="F232" s="558"/>
      <c r="H232" s="472"/>
      <c r="I232" s="514"/>
      <c r="J232" s="511"/>
      <c r="K232" s="474"/>
    </row>
    <row r="233" spans="2:11">
      <c r="B233" s="1505">
        <v>40672</v>
      </c>
      <c r="C233" s="1503">
        <v>9881.67</v>
      </c>
      <c r="D233" s="1504">
        <v>285.16000000000003</v>
      </c>
      <c r="E233" s="473"/>
      <c r="F233" s="558"/>
      <c r="H233" s="472"/>
      <c r="I233" s="514"/>
      <c r="J233" s="511"/>
      <c r="K233" s="474"/>
    </row>
    <row r="234" spans="2:11">
      <c r="B234" s="1505">
        <v>40673</v>
      </c>
      <c r="C234" s="1503">
        <v>9804.27</v>
      </c>
      <c r="D234" s="1504"/>
      <c r="E234" s="473" t="s">
        <v>416</v>
      </c>
      <c r="F234" s="558"/>
      <c r="H234" s="472"/>
      <c r="I234" s="514"/>
      <c r="J234" s="511"/>
      <c r="K234" s="474"/>
    </row>
    <row r="235" spans="2:11">
      <c r="B235" s="1505">
        <v>40674</v>
      </c>
      <c r="C235" s="1503">
        <v>9912.48</v>
      </c>
      <c r="D235" s="1504">
        <v>285.66000000000003</v>
      </c>
      <c r="E235" s="473"/>
      <c r="F235" s="558"/>
      <c r="H235" s="472"/>
      <c r="I235" s="514"/>
      <c r="J235" s="511"/>
      <c r="K235" s="474"/>
    </row>
    <row r="236" spans="2:11">
      <c r="B236" s="1505">
        <v>40675</v>
      </c>
      <c r="C236" s="1503">
        <v>9770.7099999999991</v>
      </c>
      <c r="D236" s="1504">
        <v>282.52</v>
      </c>
      <c r="E236" s="473"/>
      <c r="F236" s="558"/>
      <c r="H236" s="472"/>
      <c r="I236" s="514"/>
      <c r="J236" s="511"/>
      <c r="K236" s="474"/>
    </row>
    <row r="237" spans="2:11">
      <c r="B237" s="1505">
        <v>40676</v>
      </c>
      <c r="C237" s="1503">
        <v>9751.4500000000007</v>
      </c>
      <c r="D237" s="1504">
        <v>281.27</v>
      </c>
      <c r="E237" s="473"/>
      <c r="F237" s="558"/>
      <c r="H237" s="472"/>
      <c r="I237" s="514"/>
      <c r="J237" s="511"/>
      <c r="K237" s="474"/>
    </row>
    <row r="238" spans="2:11">
      <c r="B238" s="1505">
        <v>40679</v>
      </c>
      <c r="C238" s="1503">
        <v>9571.1299999999992</v>
      </c>
      <c r="D238" s="1504">
        <v>277.52999999999997</v>
      </c>
      <c r="E238" s="473"/>
      <c r="F238" s="558"/>
      <c r="H238" s="472"/>
      <c r="I238" s="514"/>
      <c r="J238" s="511"/>
      <c r="K238" s="474"/>
    </row>
    <row r="239" spans="2:11">
      <c r="B239" s="1505">
        <v>40680</v>
      </c>
      <c r="C239" s="1503">
        <v>9513.5</v>
      </c>
      <c r="D239" s="1504">
        <v>277.13</v>
      </c>
      <c r="E239" s="473"/>
      <c r="F239" s="558"/>
      <c r="H239" s="472"/>
      <c r="I239" s="514"/>
      <c r="J239" s="511"/>
      <c r="K239" s="474"/>
    </row>
    <row r="240" spans="2:11">
      <c r="B240" s="1505">
        <v>40681</v>
      </c>
      <c r="C240" s="1503">
        <v>9602.8799999999992</v>
      </c>
      <c r="D240" s="1504">
        <v>278.22000000000003</v>
      </c>
      <c r="E240" s="473"/>
      <c r="F240" s="558"/>
      <c r="H240" s="472"/>
      <c r="I240" s="514"/>
      <c r="J240" s="511"/>
      <c r="K240" s="474"/>
    </row>
    <row r="241" spans="2:12">
      <c r="B241" s="1505">
        <v>40682</v>
      </c>
      <c r="C241" s="1503">
        <v>9711.32</v>
      </c>
      <c r="D241" s="1504">
        <v>282.39</v>
      </c>
      <c r="E241" s="473"/>
      <c r="F241" s="558"/>
      <c r="H241" s="472"/>
      <c r="I241" s="514"/>
      <c r="J241" s="511"/>
      <c r="K241" s="474"/>
    </row>
    <row r="242" spans="2:12">
      <c r="B242" s="1505">
        <v>40683</v>
      </c>
      <c r="C242" s="1503">
        <v>9612.8700000000008</v>
      </c>
      <c r="D242" s="1504">
        <v>277.26</v>
      </c>
      <c r="E242" s="473"/>
      <c r="F242" s="558"/>
      <c r="H242" s="472"/>
      <c r="I242" s="514"/>
      <c r="J242" s="511"/>
      <c r="K242" s="474"/>
    </row>
    <row r="243" spans="2:12">
      <c r="B243" s="1505">
        <v>40686</v>
      </c>
      <c r="C243" s="1503">
        <v>9547.86</v>
      </c>
      <c r="D243" s="1504">
        <v>277.08</v>
      </c>
      <c r="E243" s="473"/>
      <c r="F243" s="558"/>
      <c r="H243" s="472"/>
      <c r="I243" s="514"/>
      <c r="J243" s="511"/>
      <c r="K243" s="474"/>
    </row>
    <row r="244" spans="2:12">
      <c r="B244" s="1505">
        <v>40687</v>
      </c>
      <c r="C244" s="1503">
        <v>9406.0400000000009</v>
      </c>
      <c r="D244" s="1504">
        <v>270.87</v>
      </c>
      <c r="E244" s="473"/>
      <c r="F244" s="558"/>
      <c r="H244" s="472"/>
      <c r="I244" s="514"/>
      <c r="J244" s="511"/>
      <c r="K244" s="474"/>
    </row>
    <row r="245" spans="2:12">
      <c r="B245" s="1505">
        <v>40688</v>
      </c>
      <c r="C245" s="1503">
        <v>9492.43</v>
      </c>
      <c r="D245" s="1504">
        <v>273.52</v>
      </c>
      <c r="E245" s="473"/>
      <c r="F245" s="558"/>
      <c r="H245" s="472"/>
      <c r="I245" s="514"/>
      <c r="J245" s="511"/>
      <c r="K245" s="474"/>
    </row>
    <row r="246" spans="2:12">
      <c r="B246" s="1505">
        <v>40689</v>
      </c>
      <c r="C246" s="1503">
        <v>9499.4500000000007</v>
      </c>
      <c r="D246" s="1504">
        <v>271.99</v>
      </c>
      <c r="E246" s="473"/>
      <c r="F246" s="474"/>
      <c r="H246" s="472"/>
      <c r="I246" s="514"/>
      <c r="J246" s="511"/>
      <c r="K246" s="474"/>
    </row>
    <row r="247" spans="2:12">
      <c r="B247" s="1505">
        <v>40690</v>
      </c>
      <c r="C247" s="1503">
        <v>9514.16</v>
      </c>
      <c r="D247" s="1504">
        <v>275.62</v>
      </c>
      <c r="E247" s="473"/>
      <c r="F247" s="474"/>
      <c r="H247" s="472"/>
      <c r="I247" s="514"/>
      <c r="J247" s="511"/>
      <c r="K247" s="474"/>
    </row>
    <row r="248" spans="2:12">
      <c r="B248" s="1505">
        <v>40693</v>
      </c>
      <c r="C248" s="1503">
        <v>9489.7800000000007</v>
      </c>
      <c r="D248" s="1504">
        <v>279.25</v>
      </c>
      <c r="E248" s="473"/>
      <c r="F248" s="474"/>
      <c r="H248" s="472"/>
      <c r="I248" s="514"/>
      <c r="J248" s="511"/>
      <c r="K248" s="474"/>
    </row>
    <row r="249" spans="2:12">
      <c r="B249" s="1506">
        <v>40694</v>
      </c>
      <c r="C249" s="1507">
        <v>9500.6</v>
      </c>
      <c r="D249" s="1508">
        <v>277.73</v>
      </c>
      <c r="E249" s="473"/>
      <c r="F249" s="474"/>
      <c r="H249" s="472"/>
      <c r="I249" s="514"/>
      <c r="J249" s="511"/>
      <c r="K249" s="474"/>
    </row>
    <row r="250" spans="2:12">
      <c r="B250" s="486"/>
      <c r="C250" s="487"/>
      <c r="D250" s="487"/>
      <c r="E250" s="487"/>
      <c r="F250" s="488"/>
      <c r="H250" s="472"/>
      <c r="I250" s="514"/>
      <c r="J250" s="511"/>
      <c r="K250" s="474"/>
    </row>
    <row r="251" spans="2:12">
      <c r="H251" s="472"/>
      <c r="I251" s="514"/>
      <c r="J251" s="511"/>
      <c r="K251" s="474"/>
    </row>
    <row r="252" spans="2:12">
      <c r="B252" s="455" t="s">
        <v>1001</v>
      </c>
      <c r="C252" s="706"/>
      <c r="D252" s="566"/>
      <c r="E252" s="489"/>
      <c r="F252" s="490"/>
      <c r="H252" s="472"/>
      <c r="I252" s="514"/>
      <c r="J252" s="511"/>
      <c r="K252" s="474"/>
    </row>
    <row r="253" spans="2:12">
      <c r="B253" s="707" t="s">
        <v>417</v>
      </c>
      <c r="C253" s="708"/>
      <c r="D253" s="553"/>
      <c r="E253" s="473"/>
      <c r="F253" s="474"/>
      <c r="H253" s="472"/>
      <c r="I253" s="514"/>
      <c r="J253" s="511"/>
      <c r="K253" s="474"/>
    </row>
    <row r="254" spans="2:12">
      <c r="B254" s="709"/>
      <c r="C254" s="1372">
        <v>-1</v>
      </c>
      <c r="D254" s="553"/>
      <c r="E254" s="473"/>
      <c r="F254" s="474"/>
      <c r="H254" s="472"/>
      <c r="I254" s="514"/>
      <c r="J254" s="511"/>
      <c r="K254" s="474"/>
    </row>
    <row r="255" spans="2:12">
      <c r="B255" s="1374">
        <v>40798</v>
      </c>
      <c r="C255" s="710" t="e">
        <f ca="1">_xll.BADDPERIODS(B255,"numberofperiods="&amp;$C$254,"CDR=TE")</f>
        <v>#NAME?</v>
      </c>
      <c r="D255" s="553"/>
      <c r="E255" s="473"/>
      <c r="F255" s="474"/>
      <c r="H255" s="486"/>
      <c r="I255" s="514"/>
      <c r="J255" s="511"/>
      <c r="K255" s="474"/>
    </row>
    <row r="256" spans="2:12">
      <c r="B256" s="573"/>
      <c r="C256" s="574"/>
      <c r="D256" s="711"/>
      <c r="E256" s="487"/>
      <c r="F256" s="488"/>
      <c r="I256" s="530"/>
      <c r="J256" s="567"/>
      <c r="K256" s="474"/>
      <c r="L256" s="1428"/>
    </row>
    <row r="257" spans="2:12">
      <c r="B257" s="1510"/>
      <c r="C257" s="1510"/>
      <c r="D257" s="1499"/>
      <c r="E257" s="1428"/>
      <c r="F257" s="1428"/>
      <c r="I257" s="2109"/>
      <c r="J257" s="511"/>
      <c r="K257" s="474"/>
      <c r="L257" s="1428"/>
    </row>
    <row r="258" spans="2:12">
      <c r="B258" s="576" t="s">
        <v>1111</v>
      </c>
      <c r="C258" s="565"/>
      <c r="D258" s="566"/>
      <c r="E258" s="489"/>
      <c r="F258" s="489"/>
      <c r="G258" s="489"/>
      <c r="H258" s="489"/>
      <c r="I258" s="2109"/>
      <c r="J258" s="511"/>
      <c r="K258" s="474"/>
      <c r="L258" s="1428"/>
    </row>
    <row r="259" spans="2:12">
      <c r="B259" s="573"/>
      <c r="C259" s="562"/>
      <c r="D259" s="553"/>
      <c r="E259" s="473"/>
      <c r="F259" s="473"/>
      <c r="G259" s="473"/>
      <c r="H259" s="473"/>
      <c r="I259" s="2109"/>
      <c r="J259" s="511"/>
      <c r="K259" s="474"/>
      <c r="L259" s="1428"/>
    </row>
    <row r="260" spans="2:12">
      <c r="B260" s="1375" t="s">
        <v>1093</v>
      </c>
      <c r="C260" s="1372" t="s">
        <v>518</v>
      </c>
      <c r="D260" s="553"/>
      <c r="E260" s="567" t="s">
        <v>1047</v>
      </c>
      <c r="F260" s="473" t="s">
        <v>1039</v>
      </c>
      <c r="G260" s="473" t="s">
        <v>1081</v>
      </c>
      <c r="H260" s="473"/>
      <c r="I260" s="2109"/>
      <c r="J260" s="511"/>
      <c r="K260" s="474"/>
      <c r="L260" s="1428"/>
    </row>
    <row r="261" spans="2:12">
      <c r="B261" s="1376" t="s">
        <v>1094</v>
      </c>
      <c r="C261" s="1518">
        <f ca="1">TODAY()-1  + TIME(20,0,0)</f>
        <v>43741.833333333336</v>
      </c>
      <c r="D261" s="553"/>
      <c r="E261" s="473" t="s">
        <v>1048</v>
      </c>
      <c r="F261" s="473" t="s">
        <v>1066</v>
      </c>
      <c r="G261" s="473" t="s">
        <v>1082</v>
      </c>
      <c r="H261" s="473"/>
      <c r="I261" s="2109"/>
      <c r="J261" s="511"/>
      <c r="K261" s="474"/>
      <c r="L261" s="1428"/>
    </row>
    <row r="262" spans="2:12">
      <c r="B262" s="1377" t="s">
        <v>1095</v>
      </c>
      <c r="C262" s="1518">
        <f ca="1">C261+TIME(0,4,0)</f>
        <v>43741.836111111115</v>
      </c>
      <c r="D262" s="553"/>
      <c r="E262" s="473" t="s">
        <v>1050</v>
      </c>
      <c r="F262" s="473" t="s">
        <v>1067</v>
      </c>
      <c r="G262" s="473" t="s">
        <v>1041</v>
      </c>
      <c r="H262" s="473"/>
      <c r="I262" s="2109"/>
      <c r="J262" s="511"/>
      <c r="K262" s="474"/>
      <c r="L262" s="1428"/>
    </row>
    <row r="263" spans="2:12">
      <c r="B263" s="1372" t="s">
        <v>1042</v>
      </c>
      <c r="C263" s="1372" t="s">
        <v>1256</v>
      </c>
      <c r="D263" s="553"/>
      <c r="E263" s="473" t="s">
        <v>1051</v>
      </c>
      <c r="F263" s="473" t="s">
        <v>1068</v>
      </c>
      <c r="G263" s="473" t="s">
        <v>1083</v>
      </c>
      <c r="H263" s="473"/>
      <c r="I263" s="2109"/>
      <c r="J263" s="511"/>
      <c r="K263" s="474"/>
      <c r="L263" s="1428"/>
    </row>
    <row r="264" spans="2:12">
      <c r="B264" s="1372" t="s">
        <v>1257</v>
      </c>
      <c r="C264" s="1372" t="s">
        <v>1341</v>
      </c>
      <c r="D264" s="553"/>
      <c r="E264" s="473" t="s">
        <v>1052</v>
      </c>
      <c r="F264" s="473" t="s">
        <v>1049</v>
      </c>
      <c r="G264" s="473" t="s">
        <v>1084</v>
      </c>
      <c r="H264" s="473"/>
      <c r="I264" s="2109"/>
      <c r="J264" s="511"/>
      <c r="K264" s="474"/>
      <c r="L264" s="1428"/>
    </row>
    <row r="265" spans="2:12">
      <c r="B265" s="1372" t="s">
        <v>1096</v>
      </c>
      <c r="C265" s="1372" t="s">
        <v>1097</v>
      </c>
      <c r="D265" s="553"/>
      <c r="E265" s="473" t="s">
        <v>1053</v>
      </c>
      <c r="F265" s="473" t="s">
        <v>1069</v>
      </c>
      <c r="G265" s="473" t="s">
        <v>1085</v>
      </c>
      <c r="H265" s="473"/>
      <c r="I265" s="2109"/>
      <c r="J265" s="511"/>
      <c r="K265" s="474"/>
      <c r="L265" s="1428"/>
    </row>
    <row r="266" spans="2:12">
      <c r="B266" s="1372" t="s">
        <v>1098</v>
      </c>
      <c r="C266" s="1372" t="s">
        <v>1099</v>
      </c>
      <c r="D266" s="553"/>
      <c r="E266" s="473" t="s">
        <v>1054</v>
      </c>
      <c r="F266" s="473" t="s">
        <v>1070</v>
      </c>
      <c r="G266" s="473" t="s">
        <v>1086</v>
      </c>
      <c r="H266" s="473"/>
      <c r="I266" s="2109"/>
      <c r="J266" s="511"/>
      <c r="K266" s="474"/>
      <c r="L266" s="1428"/>
    </row>
    <row r="267" spans="2:12">
      <c r="B267" s="1372" t="s">
        <v>1100</v>
      </c>
      <c r="C267" s="1372" t="s">
        <v>1101</v>
      </c>
      <c r="D267" s="553"/>
      <c r="E267" s="473" t="s">
        <v>1055</v>
      </c>
      <c r="F267" s="473" t="s">
        <v>1071</v>
      </c>
      <c r="G267" s="473" t="s">
        <v>1087</v>
      </c>
      <c r="H267" s="473"/>
      <c r="I267" s="2109"/>
      <c r="J267" s="511"/>
      <c r="K267" s="474"/>
      <c r="L267" s="1428"/>
    </row>
    <row r="268" spans="2:12">
      <c r="B268" s="1372" t="s">
        <v>1102</v>
      </c>
      <c r="C268" s="1372" t="s">
        <v>1103</v>
      </c>
      <c r="D268" s="553"/>
      <c r="E268" s="473" t="s">
        <v>1056</v>
      </c>
      <c r="F268" s="473" t="s">
        <v>1072</v>
      </c>
      <c r="G268" s="473" t="s">
        <v>1088</v>
      </c>
      <c r="H268" s="473"/>
      <c r="I268" s="2109"/>
      <c r="J268" s="511"/>
      <c r="K268" s="474"/>
      <c r="L268" s="1428"/>
    </row>
    <row r="269" spans="2:12">
      <c r="B269" s="1372" t="s">
        <v>1104</v>
      </c>
      <c r="C269" s="1372" t="s">
        <v>1105</v>
      </c>
      <c r="D269" s="553"/>
      <c r="E269" s="473" t="s">
        <v>1057</v>
      </c>
      <c r="F269" s="473" t="s">
        <v>1073</v>
      </c>
      <c r="G269" s="473" t="s">
        <v>1089</v>
      </c>
      <c r="H269" s="473"/>
      <c r="I269" s="2109"/>
      <c r="J269" s="511"/>
      <c r="K269" s="474"/>
      <c r="L269" s="1428"/>
    </row>
    <row r="270" spans="2:12">
      <c r="B270" s="568"/>
      <c r="C270" s="569"/>
      <c r="D270" s="553"/>
      <c r="E270" s="473" t="s">
        <v>1058</v>
      </c>
      <c r="F270" s="473" t="s">
        <v>1074</v>
      </c>
      <c r="G270" s="473" t="s">
        <v>1090</v>
      </c>
      <c r="H270" s="473"/>
      <c r="I270" s="2110"/>
      <c r="J270" s="785"/>
      <c r="K270" s="488"/>
      <c r="L270" s="1428"/>
    </row>
    <row r="271" spans="2:12">
      <c r="B271" s="712" t="s">
        <v>1249</v>
      </c>
      <c r="C271" s="569"/>
      <c r="D271" s="553"/>
      <c r="E271" s="473" t="s">
        <v>1059</v>
      </c>
      <c r="F271" s="473" t="s">
        <v>1075</v>
      </c>
      <c r="G271" s="473"/>
      <c r="H271" s="474"/>
      <c r="I271" s="1491"/>
      <c r="J271" s="1511"/>
      <c r="K271" s="1428"/>
      <c r="L271" s="1428"/>
    </row>
    <row r="272" spans="2:12">
      <c r="B272" s="570" t="s">
        <v>1092</v>
      </c>
      <c r="C272" s="571" t="s">
        <v>1012</v>
      </c>
      <c r="D272" s="571"/>
      <c r="E272" s="473" t="s">
        <v>1060</v>
      </c>
      <c r="F272" s="473" t="s">
        <v>1076</v>
      </c>
      <c r="G272" s="542" t="s">
        <v>1106</v>
      </c>
      <c r="H272" s="474"/>
      <c r="I272" s="1491"/>
      <c r="J272" s="1511"/>
      <c r="K272" s="1428"/>
      <c r="L272" s="1428"/>
    </row>
    <row r="273" spans="2:12">
      <c r="B273" s="575" t="e">
        <f>_xll.BDH(C260,C272,C261,C262,$D$5,B263:B269,C263:C269,"cols=2;rows=4")</f>
        <v>#N/A</v>
      </c>
      <c r="C273" s="563">
        <v>1.1583000000000001</v>
      </c>
      <c r="D273" s="564"/>
      <c r="E273" s="473" t="s">
        <v>1061</v>
      </c>
      <c r="F273" s="473" t="s">
        <v>1077</v>
      </c>
      <c r="G273" s="542" t="s">
        <v>1107</v>
      </c>
      <c r="H273" s="474"/>
      <c r="I273" s="1491"/>
      <c r="J273" s="1511"/>
      <c r="K273" s="1428"/>
      <c r="L273" s="1428"/>
    </row>
    <row r="274" spans="2:12">
      <c r="B274" s="572">
        <v>43388.834027777775</v>
      </c>
      <c r="C274" s="563">
        <v>1.1584000000000001</v>
      </c>
      <c r="D274" s="564"/>
      <c r="E274" s="473" t="s">
        <v>1064</v>
      </c>
      <c r="F274" s="473" t="s">
        <v>1078</v>
      </c>
      <c r="G274" s="542" t="s">
        <v>1108</v>
      </c>
      <c r="H274" s="474"/>
      <c r="I274" s="1491"/>
      <c r="J274" s="1511"/>
      <c r="K274" s="1428"/>
      <c r="L274" s="1428"/>
    </row>
    <row r="275" spans="2:12">
      <c r="B275" s="572">
        <v>43388.834722222222</v>
      </c>
      <c r="C275" s="563">
        <v>1.1580999999999999</v>
      </c>
      <c r="D275" s="564"/>
      <c r="E275" s="473" t="s">
        <v>1065</v>
      </c>
      <c r="F275" s="473" t="s">
        <v>1040</v>
      </c>
      <c r="G275" s="542" t="s">
        <v>1109</v>
      </c>
      <c r="H275" s="474"/>
      <c r="I275" s="1491"/>
      <c r="J275" s="1511"/>
      <c r="K275" s="1428"/>
      <c r="L275" s="1428"/>
    </row>
    <row r="276" spans="2:12">
      <c r="B276" s="572">
        <v>43388.835416666669</v>
      </c>
      <c r="C276" s="563">
        <v>1.1579999999999999</v>
      </c>
      <c r="D276" s="564"/>
      <c r="E276" s="473" t="s">
        <v>1062</v>
      </c>
      <c r="F276" s="473" t="s">
        <v>1079</v>
      </c>
      <c r="G276" s="542" t="s">
        <v>1110</v>
      </c>
      <c r="H276" s="474"/>
      <c r="I276" s="1491"/>
      <c r="J276" s="1511"/>
      <c r="K276" s="1428"/>
      <c r="L276" s="1428"/>
    </row>
    <row r="277" spans="2:12">
      <c r="B277" s="572"/>
      <c r="C277" s="563"/>
      <c r="D277" s="564"/>
      <c r="E277" s="473" t="s">
        <v>1063</v>
      </c>
      <c r="F277" s="473" t="s">
        <v>1080</v>
      </c>
      <c r="G277" s="473"/>
      <c r="H277" s="474"/>
      <c r="I277" s="1491"/>
      <c r="J277" s="1511"/>
      <c r="K277" s="1428"/>
      <c r="L277" s="1428"/>
    </row>
    <row r="278" spans="2:12">
      <c r="B278" s="570"/>
      <c r="C278" s="562"/>
      <c r="D278" s="1519"/>
      <c r="E278" s="475"/>
      <c r="F278" s="475"/>
      <c r="G278" s="473"/>
      <c r="H278" s="474"/>
      <c r="I278" s="1491"/>
      <c r="J278" s="1511"/>
      <c r="K278" s="1428"/>
      <c r="L278" s="1428"/>
    </row>
    <row r="279" spans="2:12">
      <c r="B279" s="570"/>
      <c r="C279" s="562"/>
      <c r="D279" s="553"/>
      <c r="E279" s="473"/>
      <c r="F279" s="473"/>
      <c r="G279" s="473"/>
      <c r="H279" s="474"/>
      <c r="I279" s="1491"/>
      <c r="J279" s="1511"/>
      <c r="K279" s="1428"/>
      <c r="L279" s="1428"/>
    </row>
    <row r="280" spans="2:12">
      <c r="B280" s="472"/>
      <c r="C280" s="473"/>
      <c r="D280" s="473"/>
      <c r="E280" s="473"/>
      <c r="F280" s="473"/>
      <c r="G280" s="473"/>
      <c r="H280" s="474"/>
      <c r="I280" s="1491"/>
      <c r="J280" s="1511"/>
      <c r="K280" s="1428"/>
      <c r="L280" s="1428"/>
    </row>
    <row r="281" spans="2:12">
      <c r="B281" s="550"/>
      <c r="C281" s="473"/>
      <c r="D281" s="473"/>
      <c r="E281" s="473"/>
      <c r="F281" s="473"/>
      <c r="G281" s="473"/>
      <c r="H281" s="474"/>
      <c r="I281" s="1491"/>
      <c r="J281" s="1511"/>
      <c r="K281" s="1428"/>
      <c r="L281" s="1428"/>
    </row>
    <row r="282" spans="2:12">
      <c r="B282" s="550"/>
      <c r="C282" s="473"/>
      <c r="D282" s="473"/>
      <c r="E282" s="473"/>
      <c r="F282" s="473"/>
      <c r="G282" s="473"/>
      <c r="H282" s="474"/>
      <c r="I282" s="1491"/>
      <c r="J282" s="1511"/>
      <c r="K282" s="1428"/>
      <c r="L282" s="1428"/>
    </row>
    <row r="283" spans="2:12">
      <c r="B283" s="550"/>
      <c r="C283" s="473"/>
      <c r="D283" s="473"/>
      <c r="E283" s="473"/>
      <c r="F283" s="473"/>
      <c r="G283" s="473"/>
      <c r="H283" s="474"/>
      <c r="I283" s="1491"/>
      <c r="J283" s="1511"/>
      <c r="K283" s="1428"/>
      <c r="L283" s="1428"/>
    </row>
    <row r="284" spans="2:12">
      <c r="B284" s="550"/>
      <c r="C284" s="473"/>
      <c r="D284" s="473"/>
      <c r="E284" s="473"/>
      <c r="F284" s="473"/>
      <c r="G284" s="473"/>
      <c r="H284" s="474"/>
      <c r="I284" s="1491"/>
      <c r="J284" s="1511"/>
      <c r="K284" s="1428"/>
      <c r="L284" s="1428"/>
    </row>
    <row r="285" spans="2:12">
      <c r="B285" s="550"/>
      <c r="C285" s="473"/>
      <c r="D285" s="473"/>
      <c r="E285" s="473"/>
      <c r="F285" s="473"/>
      <c r="G285" s="473"/>
      <c r="H285" s="474"/>
      <c r="I285" s="1491"/>
      <c r="J285" s="1511"/>
      <c r="K285" s="1428"/>
      <c r="L285" s="1428"/>
    </row>
    <row r="286" spans="2:12">
      <c r="B286" s="550"/>
      <c r="C286" s="473"/>
      <c r="D286" s="473"/>
      <c r="E286" s="473"/>
      <c r="F286" s="473"/>
      <c r="G286" s="473"/>
      <c r="H286" s="474"/>
      <c r="I286" s="1491"/>
      <c r="J286" s="1511"/>
      <c r="K286" s="1428"/>
      <c r="L286" s="1428"/>
    </row>
    <row r="287" spans="2:12">
      <c r="B287" s="551"/>
      <c r="C287" s="487"/>
      <c r="D287" s="487"/>
      <c r="E287" s="487"/>
      <c r="F287" s="487"/>
      <c r="G287" s="487"/>
      <c r="H287" s="488"/>
      <c r="I287" s="1491"/>
      <c r="J287" s="1511"/>
      <c r="K287" s="1428"/>
      <c r="L287" s="1428"/>
    </row>
    <row r="288" spans="2:12">
      <c r="F288" s="1428"/>
      <c r="I288" s="1491"/>
      <c r="J288" s="1511"/>
      <c r="K288" s="1428"/>
      <c r="L288" s="1428"/>
    </row>
    <row r="289" spans="2:12">
      <c r="B289" s="1512"/>
      <c r="F289" s="1428"/>
      <c r="I289" s="1491"/>
      <c r="J289" s="1511"/>
      <c r="K289" s="1428"/>
      <c r="L289" s="1428"/>
    </row>
    <row r="290" spans="2:12">
      <c r="B290" s="1512"/>
      <c r="F290" s="1428"/>
      <c r="I290" s="1491"/>
      <c r="J290" s="1511"/>
      <c r="K290" s="1428"/>
      <c r="L290" s="1428"/>
    </row>
    <row r="291" spans="2:12">
      <c r="B291" s="1512"/>
      <c r="F291" s="1428"/>
      <c r="I291" s="1491"/>
      <c r="J291" s="1511"/>
      <c r="K291" s="1428"/>
      <c r="L291" s="1428"/>
    </row>
    <row r="292" spans="2:12">
      <c r="B292" s="1512"/>
      <c r="F292" s="1428"/>
      <c r="I292" s="1491"/>
      <c r="J292" s="1511"/>
      <c r="K292" s="1428"/>
      <c r="L292" s="1428"/>
    </row>
    <row r="293" spans="2:12">
      <c r="B293" s="1512"/>
      <c r="F293" s="1428"/>
      <c r="I293" s="1491"/>
      <c r="J293" s="1511"/>
      <c r="K293" s="1428"/>
      <c r="L293" s="1428"/>
    </row>
    <row r="294" spans="2:12">
      <c r="B294" s="1512"/>
      <c r="F294" s="1428"/>
      <c r="I294" s="1491"/>
      <c r="J294" s="1511"/>
      <c r="K294" s="1428"/>
      <c r="L294" s="1428"/>
    </row>
    <row r="295" spans="2:12">
      <c r="B295" s="1512"/>
      <c r="F295" s="1428"/>
      <c r="I295" s="1491"/>
      <c r="J295" s="1511"/>
      <c r="K295" s="1428"/>
      <c r="L295" s="1428"/>
    </row>
    <row r="296" spans="2:12">
      <c r="B296" s="1512"/>
      <c r="F296" s="1428"/>
      <c r="I296" s="1491"/>
      <c r="J296" s="1511"/>
    </row>
    <row r="297" spans="2:12">
      <c r="B297" s="1512"/>
      <c r="F297" s="1428"/>
      <c r="I297" s="1491"/>
      <c r="J297" s="1511"/>
    </row>
    <row r="298" spans="2:12">
      <c r="B298" s="1512"/>
      <c r="F298" s="1428"/>
      <c r="I298" s="1491"/>
      <c r="J298" s="1511"/>
    </row>
    <row r="299" spans="2:12">
      <c r="B299" s="1512"/>
      <c r="F299" s="1428"/>
      <c r="I299" s="1491"/>
      <c r="J299" s="1511"/>
    </row>
    <row r="300" spans="2:12">
      <c r="B300" s="1512"/>
      <c r="F300" s="1428"/>
      <c r="I300" s="1491"/>
      <c r="J300" s="1511"/>
    </row>
    <row r="301" spans="2:12">
      <c r="B301" s="1512"/>
      <c r="F301" s="1428"/>
      <c r="I301" s="1491"/>
      <c r="J301" s="1511"/>
    </row>
    <row r="302" spans="2:12">
      <c r="B302" s="1512"/>
      <c r="F302" s="1428"/>
      <c r="I302" s="1491"/>
      <c r="J302" s="1511"/>
    </row>
    <row r="303" spans="2:12">
      <c r="B303" s="1512"/>
      <c r="F303" s="1428"/>
      <c r="I303" s="1491"/>
      <c r="J303" s="1511"/>
    </row>
    <row r="304" spans="2:12">
      <c r="B304" s="1512"/>
      <c r="F304" s="1428"/>
      <c r="I304" s="1491"/>
      <c r="J304" s="1511"/>
    </row>
    <row r="305" spans="3:10">
      <c r="F305" s="1428"/>
      <c r="I305" s="1491"/>
      <c r="J305" s="1511"/>
    </row>
    <row r="306" spans="3:10">
      <c r="F306" s="1428"/>
      <c r="I306" s="1491"/>
      <c r="J306" s="1511"/>
    </row>
    <row r="307" spans="3:10">
      <c r="F307" s="1428"/>
      <c r="I307" s="1491"/>
      <c r="J307" s="1511"/>
    </row>
    <row r="308" spans="3:10">
      <c r="I308" s="1491"/>
      <c r="J308" s="1511"/>
    </row>
    <row r="309" spans="3:10">
      <c r="I309" s="1491"/>
      <c r="J309" s="1511"/>
    </row>
    <row r="310" spans="3:10">
      <c r="I310" s="1491"/>
      <c r="J310" s="1511"/>
    </row>
    <row r="311" spans="3:10">
      <c r="I311" s="1491"/>
      <c r="J311" s="1511"/>
    </row>
    <row r="312" spans="3:10">
      <c r="I312" s="1491"/>
      <c r="J312" s="1511"/>
    </row>
    <row r="313" spans="3:10">
      <c r="I313" s="1491"/>
      <c r="J313" s="1511"/>
    </row>
    <row r="314" spans="3:10">
      <c r="C314" s="1428"/>
      <c r="D314" s="1428"/>
      <c r="E314" s="1428"/>
      <c r="F314" s="1428"/>
      <c r="G314" s="1428"/>
      <c r="I314" s="1491"/>
      <c r="J314" s="1511"/>
    </row>
    <row r="315" spans="3:10">
      <c r="C315" s="1428"/>
      <c r="D315" s="1513"/>
      <c r="E315" s="1119"/>
      <c r="F315" s="1496"/>
      <c r="G315" s="1428"/>
      <c r="I315" s="1491"/>
      <c r="J315" s="1511"/>
    </row>
    <row r="316" spans="3:10">
      <c r="C316" s="1428"/>
      <c r="D316" s="1513"/>
      <c r="E316" s="1119"/>
      <c r="F316" s="1496"/>
      <c r="G316" s="1428"/>
      <c r="I316" s="1491"/>
      <c r="J316" s="1511"/>
    </row>
    <row r="317" spans="3:10">
      <c r="C317" s="1428"/>
      <c r="D317" s="1497"/>
      <c r="E317" s="1483"/>
      <c r="F317" s="1496"/>
      <c r="G317" s="1428"/>
      <c r="I317" s="1491"/>
      <c r="J317" s="1511"/>
    </row>
    <row r="318" spans="3:10">
      <c r="C318" s="1428"/>
      <c r="D318" s="1497"/>
      <c r="E318" s="1119"/>
      <c r="F318" s="1496"/>
      <c r="G318" s="1428"/>
      <c r="I318" s="1491"/>
      <c r="J318" s="1511"/>
    </row>
    <row r="319" spans="3:10">
      <c r="C319" s="1428"/>
      <c r="D319" s="1514"/>
      <c r="E319" s="1515"/>
      <c r="F319" s="1496"/>
      <c r="G319" s="1428"/>
      <c r="I319" s="1491"/>
      <c r="J319" s="1511"/>
    </row>
    <row r="320" spans="3:10">
      <c r="C320" s="1428"/>
      <c r="D320" s="1514"/>
      <c r="E320" s="1515"/>
      <c r="F320" s="1491"/>
      <c r="G320" s="1428"/>
      <c r="I320" s="1491"/>
      <c r="J320" s="1511"/>
    </row>
    <row r="321" spans="2:10">
      <c r="B321" s="1512"/>
      <c r="C321" s="1428"/>
      <c r="D321" s="1514"/>
      <c r="E321" s="1515"/>
      <c r="F321" s="1428"/>
      <c r="G321" s="1428"/>
      <c r="I321" s="1491"/>
      <c r="J321" s="1511"/>
    </row>
    <row r="322" spans="2:10">
      <c r="B322" s="1512"/>
      <c r="C322" s="1428"/>
      <c r="D322" s="1428"/>
      <c r="E322" s="1428"/>
      <c r="F322" s="1428"/>
      <c r="G322" s="1428"/>
      <c r="I322" s="1491"/>
      <c r="J322" s="1511"/>
    </row>
    <row r="323" spans="2:10">
      <c r="B323" s="1512"/>
      <c r="C323" s="1428"/>
      <c r="D323" s="1428"/>
      <c r="E323" s="1428"/>
      <c r="F323" s="1428"/>
      <c r="G323" s="1428"/>
      <c r="I323" s="1491"/>
      <c r="J323" s="1511"/>
    </row>
    <row r="324" spans="2:10">
      <c r="B324" s="1512"/>
      <c r="C324" s="1428"/>
      <c r="D324" s="1428"/>
      <c r="E324" s="1428"/>
      <c r="F324" s="1428"/>
      <c r="G324" s="1428"/>
      <c r="I324" s="1491"/>
      <c r="J324" s="1511"/>
    </row>
    <row r="325" spans="2:10">
      <c r="B325" s="1512"/>
      <c r="I325" s="1491"/>
      <c r="J325" s="1511"/>
    </row>
    <row r="326" spans="2:10">
      <c r="B326" s="1512"/>
      <c r="I326" s="1491"/>
      <c r="J326" s="1511"/>
    </row>
    <row r="327" spans="2:10">
      <c r="B327" s="1512"/>
      <c r="I327" s="1491"/>
      <c r="J327" s="1511"/>
    </row>
    <row r="328" spans="2:10">
      <c r="B328" s="1512"/>
      <c r="I328" s="1491"/>
      <c r="J328" s="1511"/>
    </row>
    <row r="329" spans="2:10">
      <c r="B329" s="1512"/>
      <c r="I329" s="1491"/>
      <c r="J329" s="1511"/>
    </row>
    <row r="330" spans="2:10">
      <c r="B330" s="1512"/>
      <c r="I330" s="1491"/>
      <c r="J330" s="1511"/>
    </row>
    <row r="331" spans="2:10">
      <c r="B331" s="1512"/>
      <c r="I331" s="1491"/>
      <c r="J331" s="1511"/>
    </row>
    <row r="332" spans="2:10">
      <c r="B332" s="1512"/>
      <c r="I332" s="1491"/>
      <c r="J332" s="1511"/>
    </row>
    <row r="333" spans="2:10">
      <c r="B333" s="1512"/>
      <c r="I333" s="1491"/>
      <c r="J333" s="1511"/>
    </row>
    <row r="334" spans="2:10">
      <c r="B334" s="1512"/>
      <c r="I334" s="1491"/>
      <c r="J334" s="1511"/>
    </row>
    <row r="335" spans="2:10">
      <c r="B335" s="1512"/>
      <c r="I335" s="1491"/>
      <c r="J335" s="1511"/>
    </row>
    <row r="336" spans="2:10">
      <c r="B336" s="1512"/>
      <c r="I336" s="1491"/>
      <c r="J336" s="1511"/>
    </row>
    <row r="337" spans="2:10">
      <c r="B337" s="1512"/>
      <c r="I337" s="1491"/>
      <c r="J337" s="1511"/>
    </row>
    <row r="338" spans="2:10">
      <c r="B338" s="1512"/>
      <c r="I338" s="1491"/>
      <c r="J338" s="1511"/>
    </row>
    <row r="339" spans="2:10">
      <c r="B339" s="1512"/>
      <c r="I339" s="1491"/>
      <c r="J339" s="1511"/>
    </row>
    <row r="340" spans="2:10">
      <c r="B340" s="1512"/>
      <c r="I340" s="1491"/>
      <c r="J340" s="1511"/>
    </row>
    <row r="341" spans="2:10">
      <c r="B341" s="1512"/>
      <c r="I341" s="1491"/>
      <c r="J341" s="1511"/>
    </row>
    <row r="342" spans="2:10">
      <c r="B342" s="1512"/>
      <c r="I342" s="1491"/>
      <c r="J342" s="1511"/>
    </row>
    <row r="343" spans="2:10">
      <c r="B343" s="1512"/>
      <c r="I343" s="1491"/>
      <c r="J343" s="1511"/>
    </row>
    <row r="344" spans="2:10">
      <c r="B344" s="1512"/>
      <c r="I344" s="1491"/>
      <c r="J344" s="1511"/>
    </row>
    <row r="345" spans="2:10">
      <c r="B345" s="1512"/>
      <c r="I345" s="1491"/>
      <c r="J345" s="1511"/>
    </row>
    <row r="346" spans="2:10">
      <c r="B346" s="1512"/>
      <c r="I346" s="1491"/>
      <c r="J346" s="1511"/>
    </row>
    <row r="347" spans="2:10">
      <c r="B347" s="1512"/>
      <c r="I347" s="1491"/>
      <c r="J347" s="1511"/>
    </row>
    <row r="348" spans="2:10">
      <c r="B348" s="1512"/>
      <c r="I348" s="1491"/>
      <c r="J348" s="1511"/>
    </row>
    <row r="349" spans="2:10">
      <c r="B349" s="1512"/>
      <c r="I349" s="1491"/>
      <c r="J349" s="1511"/>
    </row>
    <row r="350" spans="2:10">
      <c r="B350" s="1512"/>
      <c r="I350" s="1491"/>
      <c r="J350" s="1511"/>
    </row>
    <row r="351" spans="2:10">
      <c r="B351" s="1512"/>
      <c r="I351" s="1491"/>
      <c r="J351" s="1511"/>
    </row>
    <row r="352" spans="2:10">
      <c r="B352" s="1512"/>
      <c r="I352" s="1491"/>
      <c r="J352" s="1511"/>
    </row>
    <row r="353" spans="2:10">
      <c r="B353" s="1512"/>
      <c r="I353" s="1491"/>
      <c r="J353" s="1511"/>
    </row>
    <row r="354" spans="2:10">
      <c r="B354" s="1512"/>
      <c r="I354" s="1491"/>
      <c r="J354" s="1511"/>
    </row>
    <row r="355" spans="2:10">
      <c r="B355" s="1512"/>
      <c r="I355" s="1491"/>
      <c r="J355" s="1511"/>
    </row>
    <row r="356" spans="2:10">
      <c r="B356" s="1512"/>
      <c r="I356" s="1491"/>
      <c r="J356" s="1511"/>
    </row>
    <row r="357" spans="2:10">
      <c r="B357" s="1512"/>
      <c r="I357" s="1491"/>
      <c r="J357" s="1511"/>
    </row>
    <row r="358" spans="2:10">
      <c r="B358" s="1512"/>
      <c r="I358" s="1491"/>
      <c r="J358" s="1511"/>
    </row>
    <row r="359" spans="2:10">
      <c r="B359" s="1512"/>
      <c r="I359" s="1491"/>
      <c r="J359" s="1511"/>
    </row>
    <row r="360" spans="2:10">
      <c r="B360" s="1512"/>
      <c r="I360" s="1491"/>
      <c r="J360" s="1511"/>
    </row>
    <row r="361" spans="2:10">
      <c r="B361" s="1512"/>
      <c r="I361" s="1491"/>
      <c r="J361" s="1511"/>
    </row>
    <row r="362" spans="2:10">
      <c r="B362" s="1512"/>
      <c r="I362" s="1491"/>
      <c r="J362" s="1511"/>
    </row>
    <row r="363" spans="2:10">
      <c r="B363" s="1512"/>
      <c r="I363" s="1491"/>
      <c r="J363" s="1511"/>
    </row>
    <row r="364" spans="2:10">
      <c r="B364" s="1512"/>
      <c r="I364" s="1491"/>
      <c r="J364" s="1511"/>
    </row>
    <row r="365" spans="2:10">
      <c r="B365" s="1512"/>
      <c r="I365" s="1491"/>
      <c r="J365" s="1511"/>
    </row>
    <row r="366" spans="2:10">
      <c r="B366" s="1512"/>
      <c r="I366" s="1491"/>
      <c r="J366" s="1511"/>
    </row>
    <row r="367" spans="2:10">
      <c r="B367" s="1512"/>
      <c r="I367" s="1491"/>
      <c r="J367" s="1511"/>
    </row>
    <row r="368" spans="2:10">
      <c r="B368" s="1512"/>
      <c r="I368" s="1491"/>
      <c r="J368" s="1511"/>
    </row>
    <row r="369" spans="2:10">
      <c r="B369" s="1512"/>
      <c r="I369" s="1491"/>
      <c r="J369" s="1511"/>
    </row>
    <row r="370" spans="2:10">
      <c r="B370" s="1512"/>
      <c r="I370" s="1491"/>
      <c r="J370" s="1511"/>
    </row>
    <row r="371" spans="2:10">
      <c r="B371" s="1512"/>
      <c r="I371" s="1491"/>
      <c r="J371" s="1511"/>
    </row>
    <row r="372" spans="2:10">
      <c r="B372" s="1512"/>
      <c r="I372" s="1491"/>
      <c r="J372" s="1511"/>
    </row>
    <row r="373" spans="2:10">
      <c r="B373" s="1512"/>
      <c r="I373" s="1491"/>
      <c r="J373" s="1511"/>
    </row>
    <row r="374" spans="2:10">
      <c r="B374" s="1512"/>
      <c r="I374" s="1491"/>
      <c r="J374" s="1511"/>
    </row>
    <row r="375" spans="2:10">
      <c r="B375" s="1512"/>
      <c r="I375" s="1491"/>
      <c r="J375" s="1511"/>
    </row>
    <row r="376" spans="2:10">
      <c r="B376" s="1512"/>
      <c r="I376" s="1491"/>
      <c r="J376" s="1511"/>
    </row>
    <row r="377" spans="2:10">
      <c r="B377" s="1512"/>
      <c r="I377" s="1491"/>
      <c r="J377" s="1511"/>
    </row>
    <row r="378" spans="2:10">
      <c r="B378" s="1512"/>
      <c r="I378" s="1491"/>
      <c r="J378" s="1511"/>
    </row>
    <row r="379" spans="2:10">
      <c r="B379" s="1512"/>
      <c r="I379" s="1491"/>
      <c r="J379" s="1511"/>
    </row>
    <row r="380" spans="2:10">
      <c r="B380" s="1512"/>
      <c r="I380" s="1491"/>
      <c r="J380" s="1511"/>
    </row>
    <row r="381" spans="2:10">
      <c r="B381" s="1512"/>
      <c r="I381" s="1491"/>
      <c r="J381" s="1511"/>
    </row>
    <row r="382" spans="2:10">
      <c r="B382" s="1512"/>
      <c r="I382" s="1491"/>
      <c r="J382" s="1511"/>
    </row>
    <row r="383" spans="2:10">
      <c r="B383" s="1512"/>
      <c r="I383" s="1491"/>
      <c r="J383" s="1511"/>
    </row>
    <row r="384" spans="2:10">
      <c r="B384" s="1512"/>
      <c r="I384" s="1491"/>
      <c r="J384" s="1511"/>
    </row>
    <row r="385" spans="2:10">
      <c r="B385" s="1512"/>
      <c r="I385" s="1491"/>
      <c r="J385" s="1511"/>
    </row>
    <row r="386" spans="2:10">
      <c r="B386" s="1512"/>
      <c r="I386" s="1491"/>
      <c r="J386" s="1511"/>
    </row>
    <row r="387" spans="2:10">
      <c r="B387" s="1512"/>
      <c r="I387" s="1491"/>
      <c r="J387" s="1511"/>
    </row>
    <row r="388" spans="2:10">
      <c r="B388" s="1512"/>
      <c r="I388" s="1491"/>
      <c r="J388" s="1511"/>
    </row>
    <row r="389" spans="2:10">
      <c r="B389" s="1512"/>
      <c r="I389" s="1491"/>
      <c r="J389" s="1511"/>
    </row>
    <row r="390" spans="2:10">
      <c r="B390" s="1512"/>
      <c r="I390" s="1491"/>
      <c r="J390" s="1511"/>
    </row>
    <row r="391" spans="2:10">
      <c r="B391" s="1512"/>
      <c r="I391" s="1491"/>
      <c r="J391" s="1511"/>
    </row>
    <row r="392" spans="2:10">
      <c r="B392" s="1512"/>
      <c r="I392" s="1491"/>
      <c r="J392" s="1511"/>
    </row>
    <row r="393" spans="2:10">
      <c r="B393" s="1512"/>
      <c r="I393" s="1491"/>
      <c r="J393" s="1511"/>
    </row>
    <row r="394" spans="2:10">
      <c r="B394" s="1512"/>
      <c r="I394" s="1491"/>
      <c r="J394" s="1511"/>
    </row>
    <row r="395" spans="2:10">
      <c r="B395" s="1512"/>
      <c r="I395" s="1491"/>
      <c r="J395" s="1511"/>
    </row>
    <row r="396" spans="2:10">
      <c r="B396" s="1512"/>
      <c r="I396" s="1491"/>
      <c r="J396" s="1511"/>
    </row>
    <row r="397" spans="2:10">
      <c r="B397" s="1512"/>
      <c r="I397" s="1491"/>
      <c r="J397" s="1511"/>
    </row>
    <row r="398" spans="2:10">
      <c r="B398" s="1512"/>
      <c r="I398" s="1491"/>
      <c r="J398" s="1511"/>
    </row>
    <row r="399" spans="2:10">
      <c r="B399" s="1512"/>
      <c r="I399" s="1491"/>
      <c r="J399" s="1511"/>
    </row>
    <row r="400" spans="2:10">
      <c r="B400" s="1512"/>
      <c r="I400" s="1491"/>
      <c r="J400" s="1511"/>
    </row>
    <row r="401" spans="2:10">
      <c r="B401" s="1512"/>
      <c r="I401" s="1491"/>
      <c r="J401" s="1511"/>
    </row>
    <row r="402" spans="2:10">
      <c r="B402" s="1512"/>
      <c r="I402" s="1491"/>
      <c r="J402" s="1511"/>
    </row>
    <row r="403" spans="2:10">
      <c r="B403" s="1512"/>
      <c r="I403" s="1491"/>
      <c r="J403" s="1511"/>
    </row>
    <row r="404" spans="2:10">
      <c r="B404" s="1512"/>
      <c r="I404" s="1491"/>
      <c r="J404" s="1511"/>
    </row>
    <row r="405" spans="2:10">
      <c r="B405" s="1512"/>
      <c r="I405" s="1491"/>
      <c r="J405" s="1511"/>
    </row>
    <row r="406" spans="2:10">
      <c r="B406" s="1512"/>
      <c r="I406" s="1491"/>
      <c r="J406" s="1511"/>
    </row>
    <row r="407" spans="2:10">
      <c r="B407" s="1512"/>
      <c r="I407" s="1491"/>
      <c r="J407" s="1511"/>
    </row>
    <row r="408" spans="2:10">
      <c r="B408" s="1512"/>
      <c r="I408" s="1491"/>
      <c r="J408" s="1511"/>
    </row>
    <row r="409" spans="2:10">
      <c r="B409" s="1512"/>
      <c r="I409" s="1491"/>
      <c r="J409" s="1511"/>
    </row>
    <row r="410" spans="2:10">
      <c r="B410" s="1512"/>
      <c r="I410" s="1491"/>
      <c r="J410" s="1511"/>
    </row>
    <row r="411" spans="2:10">
      <c r="B411" s="1512"/>
      <c r="I411" s="1491"/>
      <c r="J411" s="1511"/>
    </row>
    <row r="412" spans="2:10">
      <c r="B412" s="1512"/>
      <c r="I412" s="1491"/>
      <c r="J412" s="1511"/>
    </row>
    <row r="413" spans="2:10">
      <c r="B413" s="1512"/>
      <c r="I413" s="1491"/>
      <c r="J413" s="1511"/>
    </row>
    <row r="414" spans="2:10">
      <c r="B414" s="1512"/>
      <c r="I414" s="1491"/>
      <c r="J414" s="1511"/>
    </row>
    <row r="415" spans="2:10">
      <c r="B415" s="1512"/>
      <c r="I415" s="1491"/>
      <c r="J415" s="1511"/>
    </row>
    <row r="416" spans="2:10">
      <c r="B416" s="1512"/>
      <c r="I416" s="1491"/>
      <c r="J416" s="1511"/>
    </row>
    <row r="417" spans="2:10">
      <c r="B417" s="1512"/>
      <c r="I417" s="1491"/>
      <c r="J417" s="1511"/>
    </row>
    <row r="418" spans="2:10">
      <c r="B418" s="1512"/>
      <c r="I418" s="1491"/>
      <c r="J418" s="1511"/>
    </row>
    <row r="419" spans="2:10">
      <c r="B419" s="1512"/>
      <c r="I419" s="1491"/>
      <c r="J419" s="1511"/>
    </row>
    <row r="420" spans="2:10">
      <c r="B420" s="1512"/>
      <c r="I420" s="1491"/>
      <c r="J420" s="1511"/>
    </row>
    <row r="421" spans="2:10">
      <c r="B421" s="1512"/>
      <c r="I421" s="1491"/>
      <c r="J421" s="1511"/>
    </row>
    <row r="422" spans="2:10">
      <c r="B422" s="1512"/>
      <c r="I422" s="1491"/>
      <c r="J422" s="1511"/>
    </row>
    <row r="423" spans="2:10">
      <c r="B423" s="1512"/>
      <c r="I423" s="1491"/>
      <c r="J423" s="1511"/>
    </row>
    <row r="424" spans="2:10">
      <c r="B424" s="1512"/>
      <c r="I424" s="1491"/>
      <c r="J424" s="1511"/>
    </row>
    <row r="425" spans="2:10">
      <c r="B425" s="1512"/>
      <c r="I425" s="1491"/>
      <c r="J425" s="1511"/>
    </row>
    <row r="426" spans="2:10">
      <c r="B426" s="1512"/>
      <c r="I426" s="1491"/>
      <c r="J426" s="1511"/>
    </row>
    <row r="427" spans="2:10">
      <c r="B427" s="1512"/>
      <c r="I427" s="1491"/>
      <c r="J427" s="1511"/>
    </row>
    <row r="428" spans="2:10">
      <c r="B428" s="1512"/>
      <c r="I428" s="1491"/>
      <c r="J428" s="1511"/>
    </row>
    <row r="429" spans="2:10">
      <c r="B429" s="1512"/>
      <c r="I429" s="1491"/>
      <c r="J429" s="1511"/>
    </row>
    <row r="430" spans="2:10">
      <c r="B430" s="1512"/>
      <c r="I430" s="1491"/>
      <c r="J430" s="1511"/>
    </row>
    <row r="431" spans="2:10">
      <c r="B431" s="1512"/>
      <c r="I431" s="1491"/>
      <c r="J431" s="1511"/>
    </row>
    <row r="432" spans="2:10">
      <c r="B432" s="1512"/>
      <c r="I432" s="1491"/>
      <c r="J432" s="1511"/>
    </row>
    <row r="433" spans="2:10">
      <c r="B433" s="1512"/>
      <c r="I433" s="1491"/>
      <c r="J433" s="1511"/>
    </row>
    <row r="434" spans="2:10">
      <c r="B434" s="1512"/>
      <c r="I434" s="1491"/>
      <c r="J434" s="1511"/>
    </row>
    <row r="435" spans="2:10">
      <c r="B435" s="1512"/>
      <c r="I435" s="1491"/>
      <c r="J435" s="1511"/>
    </row>
    <row r="436" spans="2:10">
      <c r="B436" s="1512"/>
      <c r="I436" s="1491"/>
      <c r="J436" s="1511"/>
    </row>
    <row r="437" spans="2:10">
      <c r="B437" s="1512"/>
      <c r="I437" s="1491"/>
      <c r="J437" s="1511"/>
    </row>
    <row r="438" spans="2:10">
      <c r="B438" s="1512"/>
      <c r="I438" s="1491"/>
      <c r="J438" s="1511"/>
    </row>
    <row r="439" spans="2:10">
      <c r="B439" s="1512"/>
      <c r="I439" s="1491"/>
      <c r="J439" s="1511"/>
    </row>
    <row r="440" spans="2:10">
      <c r="B440" s="1512"/>
      <c r="I440" s="1491"/>
      <c r="J440" s="1511"/>
    </row>
    <row r="441" spans="2:10">
      <c r="B441" s="1512"/>
      <c r="I441" s="1491"/>
      <c r="J441" s="1511"/>
    </row>
    <row r="442" spans="2:10">
      <c r="B442" s="1512"/>
      <c r="I442" s="1491"/>
      <c r="J442" s="1511"/>
    </row>
    <row r="443" spans="2:10">
      <c r="B443" s="1512"/>
      <c r="I443" s="1491"/>
      <c r="J443" s="1511"/>
    </row>
    <row r="444" spans="2:10">
      <c r="B444" s="1512"/>
      <c r="I444" s="1491"/>
      <c r="J444" s="1511"/>
    </row>
    <row r="445" spans="2:10">
      <c r="B445" s="1512"/>
      <c r="I445" s="1491"/>
      <c r="J445" s="1511"/>
    </row>
    <row r="446" spans="2:10">
      <c r="B446" s="1512"/>
      <c r="I446" s="1491"/>
      <c r="J446" s="1511"/>
    </row>
    <row r="447" spans="2:10">
      <c r="B447" s="1512"/>
      <c r="I447" s="1491"/>
      <c r="J447" s="1511"/>
    </row>
    <row r="448" spans="2:10">
      <c r="B448" s="1512"/>
      <c r="I448" s="1491"/>
      <c r="J448" s="1511"/>
    </row>
    <row r="449" spans="2:10">
      <c r="B449" s="1512"/>
      <c r="I449" s="1491"/>
      <c r="J449" s="1511"/>
    </row>
    <row r="450" spans="2:10">
      <c r="B450" s="1512"/>
      <c r="I450" s="1491"/>
      <c r="J450" s="1511"/>
    </row>
    <row r="451" spans="2:10">
      <c r="B451" s="1512"/>
      <c r="I451" s="1491"/>
      <c r="J451" s="1511"/>
    </row>
    <row r="452" spans="2:10">
      <c r="B452" s="1512"/>
      <c r="I452" s="1491"/>
      <c r="J452" s="1511"/>
    </row>
    <row r="453" spans="2:10">
      <c r="B453" s="1512"/>
      <c r="I453" s="1491"/>
      <c r="J453" s="1511"/>
    </row>
    <row r="454" spans="2:10">
      <c r="B454" s="1512"/>
      <c r="I454" s="1491"/>
      <c r="J454" s="1511"/>
    </row>
    <row r="455" spans="2:10">
      <c r="B455" s="1512"/>
      <c r="I455" s="1491"/>
      <c r="J455" s="1511"/>
    </row>
    <row r="456" spans="2:10">
      <c r="B456" s="1512"/>
      <c r="I456" s="1491"/>
      <c r="J456" s="1511"/>
    </row>
    <row r="457" spans="2:10">
      <c r="B457" s="1512"/>
      <c r="I457" s="1491"/>
      <c r="J457" s="1511"/>
    </row>
    <row r="458" spans="2:10">
      <c r="B458" s="1512"/>
      <c r="I458" s="1491"/>
      <c r="J458" s="1511"/>
    </row>
    <row r="459" spans="2:10">
      <c r="B459" s="1512"/>
      <c r="I459" s="1491"/>
      <c r="J459" s="1511"/>
    </row>
    <row r="460" spans="2:10">
      <c r="B460" s="1512"/>
      <c r="I460" s="1491"/>
      <c r="J460" s="1511"/>
    </row>
    <row r="461" spans="2:10">
      <c r="B461" s="1512"/>
      <c r="I461" s="1491"/>
      <c r="J461" s="1511"/>
    </row>
    <row r="462" spans="2:10">
      <c r="B462" s="1512"/>
      <c r="I462" s="1491"/>
      <c r="J462" s="1511"/>
    </row>
    <row r="463" spans="2:10">
      <c r="B463" s="1512"/>
      <c r="I463" s="1491"/>
      <c r="J463" s="1511"/>
    </row>
    <row r="464" spans="2:10">
      <c r="B464" s="1512"/>
      <c r="I464" s="1491"/>
      <c r="J464" s="1511"/>
    </row>
    <row r="465" spans="2:10">
      <c r="B465" s="1512"/>
      <c r="I465" s="1491"/>
      <c r="J465" s="1511"/>
    </row>
    <row r="466" spans="2:10">
      <c r="B466" s="1512"/>
      <c r="I466" s="1491"/>
      <c r="J466" s="1511"/>
    </row>
    <row r="467" spans="2:10">
      <c r="B467" s="1512"/>
      <c r="I467" s="1491"/>
      <c r="J467" s="1511"/>
    </row>
    <row r="468" spans="2:10">
      <c r="B468" s="1512"/>
      <c r="I468" s="1491"/>
      <c r="J468" s="1511"/>
    </row>
    <row r="469" spans="2:10">
      <c r="B469" s="1512"/>
      <c r="I469" s="1491"/>
      <c r="J469" s="1511"/>
    </row>
    <row r="470" spans="2:10">
      <c r="B470" s="1512"/>
      <c r="I470" s="1491"/>
      <c r="J470" s="1511"/>
    </row>
    <row r="471" spans="2:10">
      <c r="B471" s="1512"/>
      <c r="I471" s="1491"/>
      <c r="J471" s="1511"/>
    </row>
    <row r="472" spans="2:10">
      <c r="B472" s="1512"/>
      <c r="I472" s="1491"/>
      <c r="J472" s="1511"/>
    </row>
    <row r="473" spans="2:10">
      <c r="B473" s="1512"/>
      <c r="I473" s="1491"/>
      <c r="J473" s="1511"/>
    </row>
    <row r="474" spans="2:10">
      <c r="B474" s="1512"/>
      <c r="I474" s="1491"/>
      <c r="J474" s="1511"/>
    </row>
    <row r="475" spans="2:10">
      <c r="B475" s="1512"/>
      <c r="I475" s="1491"/>
      <c r="J475" s="1511"/>
    </row>
    <row r="476" spans="2:10">
      <c r="B476" s="1512"/>
      <c r="I476" s="1491"/>
      <c r="J476" s="1511"/>
    </row>
    <row r="477" spans="2:10">
      <c r="B477" s="1512"/>
      <c r="I477" s="1491"/>
      <c r="J477" s="1511"/>
    </row>
    <row r="478" spans="2:10">
      <c r="B478" s="1512"/>
      <c r="I478" s="1491"/>
      <c r="J478" s="1511"/>
    </row>
    <row r="479" spans="2:10">
      <c r="B479" s="1512"/>
      <c r="I479" s="1491"/>
      <c r="J479" s="1511"/>
    </row>
    <row r="480" spans="2:10">
      <c r="B480" s="1512"/>
      <c r="I480" s="1491"/>
      <c r="J480" s="1511"/>
    </row>
    <row r="481" spans="2:10">
      <c r="B481" s="1512"/>
      <c r="I481" s="1491"/>
      <c r="J481" s="1511"/>
    </row>
    <row r="482" spans="2:10">
      <c r="B482" s="1512"/>
      <c r="I482" s="1491"/>
      <c r="J482" s="1511"/>
    </row>
    <row r="483" spans="2:10">
      <c r="B483" s="1512"/>
      <c r="I483" s="1491"/>
      <c r="J483" s="1511"/>
    </row>
    <row r="484" spans="2:10">
      <c r="B484" s="1512"/>
      <c r="I484" s="1491"/>
      <c r="J484" s="1511"/>
    </row>
    <row r="485" spans="2:10">
      <c r="B485" s="1512"/>
      <c r="I485" s="1491"/>
      <c r="J485" s="1511"/>
    </row>
    <row r="486" spans="2:10">
      <c r="B486" s="1512"/>
      <c r="I486" s="1491"/>
      <c r="J486" s="1511"/>
    </row>
    <row r="487" spans="2:10">
      <c r="B487" s="1512"/>
      <c r="I487" s="1491"/>
      <c r="J487" s="1511"/>
    </row>
    <row r="488" spans="2:10">
      <c r="B488" s="1512"/>
      <c r="I488" s="1491"/>
      <c r="J488" s="1511"/>
    </row>
    <row r="489" spans="2:10">
      <c r="B489" s="1512"/>
      <c r="I489" s="1491"/>
      <c r="J489" s="1511"/>
    </row>
    <row r="490" spans="2:10">
      <c r="B490" s="1512"/>
      <c r="I490" s="1491"/>
      <c r="J490" s="1511"/>
    </row>
    <row r="491" spans="2:10">
      <c r="B491" s="1512"/>
      <c r="I491" s="1491"/>
      <c r="J491" s="1511"/>
    </row>
    <row r="492" spans="2:10">
      <c r="B492" s="1512"/>
      <c r="I492" s="1491"/>
      <c r="J492" s="1511"/>
    </row>
    <row r="493" spans="2:10">
      <c r="B493" s="1512"/>
      <c r="I493" s="1491"/>
      <c r="J493" s="1511"/>
    </row>
    <row r="494" spans="2:10">
      <c r="B494" s="1512"/>
      <c r="I494" s="1491"/>
      <c r="J494" s="1511"/>
    </row>
    <row r="495" spans="2:10">
      <c r="B495" s="1512"/>
      <c r="I495" s="1491"/>
      <c r="J495" s="1511"/>
    </row>
    <row r="496" spans="2:10">
      <c r="B496" s="1512"/>
      <c r="I496" s="1491"/>
      <c r="J496" s="1511"/>
    </row>
    <row r="497" spans="2:10">
      <c r="B497" s="1512"/>
      <c r="I497" s="1509"/>
      <c r="J497" s="1516"/>
    </row>
    <row r="498" spans="2:10">
      <c r="B498" s="1512"/>
      <c r="I498" s="1484"/>
    </row>
    <row r="499" spans="2:10">
      <c r="B499" s="1512"/>
      <c r="I499" s="1484"/>
    </row>
    <row r="500" spans="2:10">
      <c r="B500" s="1512"/>
      <c r="I500" s="1484"/>
    </row>
    <row r="501" spans="2:10">
      <c r="B501" s="1512"/>
      <c r="I501" s="1484"/>
    </row>
    <row r="502" spans="2:10">
      <c r="B502" s="1512"/>
      <c r="I502" s="1484"/>
    </row>
    <row r="503" spans="2:10">
      <c r="B503" s="1512"/>
      <c r="I503" s="1484"/>
    </row>
    <row r="504" spans="2:10">
      <c r="B504" s="1512"/>
      <c r="I504" s="1484"/>
    </row>
    <row r="505" spans="2:10">
      <c r="B505" s="1512"/>
      <c r="I505" s="1484"/>
    </row>
    <row r="506" spans="2:10">
      <c r="B506" s="1512"/>
      <c r="I506" s="1484"/>
    </row>
    <row r="507" spans="2:10">
      <c r="B507" s="1512"/>
      <c r="I507" s="1484"/>
    </row>
    <row r="508" spans="2:10">
      <c r="B508" s="1512"/>
      <c r="I508" s="1484"/>
    </row>
    <row r="509" spans="2:10">
      <c r="B509" s="1512"/>
      <c r="I509" s="1484"/>
    </row>
    <row r="510" spans="2:10">
      <c r="B510" s="1512"/>
      <c r="I510" s="1484"/>
    </row>
    <row r="511" spans="2:10">
      <c r="B511" s="1512"/>
      <c r="I511" s="1484"/>
    </row>
    <row r="512" spans="2:10">
      <c r="B512" s="1512"/>
      <c r="I512" s="1484"/>
    </row>
    <row r="513" spans="2:2">
      <c r="B513" s="1512"/>
    </row>
    <row r="514" spans="2:2">
      <c r="B514" s="1512"/>
    </row>
    <row r="515" spans="2:2">
      <c r="B515" s="1512"/>
    </row>
    <row r="516" spans="2:2">
      <c r="B516" s="1512"/>
    </row>
    <row r="517" spans="2:2">
      <c r="B517" s="1512"/>
    </row>
    <row r="518" spans="2:2">
      <c r="B518" s="1512"/>
    </row>
    <row r="519" spans="2:2">
      <c r="B519" s="1512"/>
    </row>
    <row r="520" spans="2:2">
      <c r="B520" s="1512"/>
    </row>
    <row r="521" spans="2:2">
      <c r="B521" s="1512"/>
    </row>
    <row r="522" spans="2:2">
      <c r="B522" s="1512"/>
    </row>
    <row r="523" spans="2:2">
      <c r="B523" s="1512"/>
    </row>
    <row r="524" spans="2:2">
      <c r="B524" s="1512"/>
    </row>
    <row r="525" spans="2:2">
      <c r="B525" s="1512"/>
    </row>
    <row r="526" spans="2:2">
      <c r="B526" s="1512"/>
    </row>
    <row r="527" spans="2:2">
      <c r="B527" s="1512"/>
    </row>
    <row r="528" spans="2:2">
      <c r="B528" s="1512"/>
    </row>
    <row r="529" spans="2:2">
      <c r="B529" s="1512"/>
    </row>
    <row r="530" spans="2:2">
      <c r="B530" s="1512"/>
    </row>
    <row r="531" spans="2:2">
      <c r="B531" s="1512"/>
    </row>
    <row r="532" spans="2:2">
      <c r="B532" s="1512"/>
    </row>
    <row r="533" spans="2:2">
      <c r="B533" s="1512"/>
    </row>
    <row r="534" spans="2:2">
      <c r="B534" s="1512"/>
    </row>
    <row r="535" spans="2:2">
      <c r="B535" s="1512"/>
    </row>
    <row r="536" spans="2:2">
      <c r="B536" s="1512"/>
    </row>
    <row r="537" spans="2:2">
      <c r="B537" s="1512"/>
    </row>
    <row r="538" spans="2:2">
      <c r="B538" s="1512"/>
    </row>
    <row r="539" spans="2:2">
      <c r="B539" s="1512"/>
    </row>
    <row r="540" spans="2:2">
      <c r="B540" s="1512"/>
    </row>
    <row r="541" spans="2:2">
      <c r="B541" s="1512"/>
    </row>
    <row r="542" spans="2:2">
      <c r="B542" s="1512"/>
    </row>
    <row r="543" spans="2:2">
      <c r="B543" s="1512"/>
    </row>
    <row r="544" spans="2:2">
      <c r="B544" s="1512"/>
    </row>
    <row r="545" spans="2:2">
      <c r="B545" s="1512"/>
    </row>
    <row r="546" spans="2:2">
      <c r="B546" s="1512"/>
    </row>
    <row r="547" spans="2:2">
      <c r="B547" s="1512"/>
    </row>
    <row r="548" spans="2:2">
      <c r="B548" s="1512"/>
    </row>
    <row r="549" spans="2:2">
      <c r="B549" s="1512"/>
    </row>
    <row r="550" spans="2:2">
      <c r="B550" s="1512"/>
    </row>
    <row r="551" spans="2:2">
      <c r="B551" s="1512"/>
    </row>
    <row r="552" spans="2:2">
      <c r="B552" s="1512"/>
    </row>
    <row r="553" spans="2:2">
      <c r="B553" s="1512"/>
    </row>
    <row r="554" spans="2:2">
      <c r="B554" s="1512"/>
    </row>
    <row r="555" spans="2:2">
      <c r="B555" s="1512"/>
    </row>
    <row r="556" spans="2:2">
      <c r="B556" s="1512"/>
    </row>
    <row r="557" spans="2:2">
      <c r="B557" s="1512"/>
    </row>
    <row r="558" spans="2:2">
      <c r="B558" s="1512"/>
    </row>
    <row r="559" spans="2:2">
      <c r="B559" s="1512"/>
    </row>
    <row r="560" spans="2:2">
      <c r="B560" s="1512"/>
    </row>
    <row r="561" spans="2:2">
      <c r="B561" s="1512"/>
    </row>
    <row r="562" spans="2:2">
      <c r="B562" s="1512"/>
    </row>
  </sheetData>
  <phoneticPr fontId="0" type="noConversion"/>
  <pageMargins left="0.19685039370078741" right="0.19685039370078741" top="0.19685039370078741" bottom="0.19685039370078741" header="0.19685039370078741" footer="0.19685039370078741"/>
  <pageSetup paperSize="9" scale="74" fitToHeight="4" orientation="portrait" r:id="rId1"/>
  <headerFooter alignWithMargins="0"/>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FFFF00"/>
  </sheetPr>
  <dimension ref="B1:Q1379"/>
  <sheetViews>
    <sheetView zoomScale="90" zoomScaleNormal="90" workbookViewId="0"/>
  </sheetViews>
  <sheetFormatPr baseColWidth="10" defaultColWidth="9.140625" defaultRowHeight="15"/>
  <cols>
    <col min="1" max="1" width="3.7109375" style="1154" customWidth="1"/>
    <col min="2" max="2" width="24.5703125" style="1630" customWidth="1"/>
    <col min="3" max="3" width="30.42578125" style="1630" customWidth="1"/>
    <col min="4" max="4" width="22" style="1630" customWidth="1"/>
    <col min="5" max="5" width="15.42578125" style="1154" customWidth="1"/>
    <col min="6" max="6" width="14.28515625" style="1154" customWidth="1"/>
    <col min="7" max="7" width="19.140625" style="1154" customWidth="1"/>
    <col min="8" max="8" width="13.140625" style="1154" customWidth="1"/>
    <col min="9" max="9" width="19.5703125" style="1154" customWidth="1"/>
    <col min="10" max="10" width="25.42578125" style="1154" customWidth="1"/>
    <col min="11" max="11" width="23" style="1154" customWidth="1"/>
    <col min="12" max="12" width="14.85546875" style="1154" customWidth="1"/>
    <col min="13" max="13" width="15.7109375" style="1154" bestFit="1" customWidth="1"/>
    <col min="14" max="14" width="14.140625" style="1154" bestFit="1" customWidth="1"/>
    <col min="15" max="15" width="9.28515625" style="1154" bestFit="1" customWidth="1"/>
    <col min="16" max="16384" width="9.140625" style="1154"/>
  </cols>
  <sheetData>
    <row r="1" spans="2:14" ht="17.25" customHeight="1">
      <c r="B1" s="1154"/>
      <c r="C1" s="1154"/>
      <c r="D1" s="1154"/>
    </row>
    <row r="2" spans="2:14">
      <c r="B2" s="1154"/>
      <c r="C2" s="1154"/>
      <c r="D2" s="1154"/>
    </row>
    <row r="3" spans="2:14">
      <c r="B3" s="1154"/>
      <c r="C3" s="1154"/>
      <c r="D3" s="1154"/>
    </row>
    <row r="4" spans="2:14">
      <c r="B4" s="1154"/>
      <c r="C4" s="1154"/>
      <c r="D4" s="1154"/>
    </row>
    <row r="5" spans="2:14" ht="21">
      <c r="B5" s="1477" t="s">
        <v>1003</v>
      </c>
      <c r="C5" s="1154"/>
      <c r="D5" s="1154"/>
    </row>
    <row r="6" spans="2:14" ht="15.75">
      <c r="B6" s="1988" t="s">
        <v>757</v>
      </c>
      <c r="C6" s="1154"/>
      <c r="D6" s="1154"/>
    </row>
    <row r="7" spans="2:14">
      <c r="B7" s="1190" t="s">
        <v>22</v>
      </c>
      <c r="C7" s="1154"/>
      <c r="D7" s="1154"/>
    </row>
    <row r="8" spans="2:14">
      <c r="B8" s="1154"/>
      <c r="C8" s="1154"/>
      <c r="D8" s="1154"/>
    </row>
    <row r="9" spans="2:14">
      <c r="B9" s="187" t="s">
        <v>738</v>
      </c>
      <c r="C9" s="188"/>
      <c r="D9" s="12"/>
      <c r="E9" s="12"/>
      <c r="F9" s="12"/>
      <c r="G9" s="2285" t="s">
        <v>733</v>
      </c>
      <c r="I9" s="2284" t="s">
        <v>2073</v>
      </c>
      <c r="J9" s="188"/>
      <c r="K9" s="12"/>
      <c r="L9" s="12"/>
      <c r="M9" s="12"/>
      <c r="N9" s="717"/>
    </row>
    <row r="10" spans="2:14">
      <c r="B10" s="15"/>
      <c r="C10" s="677" t="s">
        <v>1254</v>
      </c>
      <c r="D10" s="25"/>
      <c r="E10" s="13"/>
      <c r="F10" s="25"/>
      <c r="G10" s="2286" t="s">
        <v>1253</v>
      </c>
      <c r="H10" s="2290" t="s">
        <v>2074</v>
      </c>
      <c r="I10" s="15"/>
      <c r="J10" s="677" t="s">
        <v>2072</v>
      </c>
      <c r="K10" s="25"/>
      <c r="L10" s="13"/>
      <c r="M10" s="25"/>
      <c r="N10" s="117"/>
    </row>
    <row r="11" spans="2:14">
      <c r="B11" s="1639" t="s">
        <v>1502</v>
      </c>
      <c r="C11" s="321">
        <f>_xll.BDS(B11,B12,"cols=3;rows=3")</f>
        <v>43515</v>
      </c>
      <c r="D11" s="194">
        <v>20000</v>
      </c>
      <c r="E11" s="194">
        <v>0</v>
      </c>
      <c r="F11" s="25"/>
      <c r="G11" s="2287">
        <f t="shared" ref="G11:G16" si="0">D11+E11</f>
        <v>20000</v>
      </c>
      <c r="I11" s="1639" t="s">
        <v>1502</v>
      </c>
      <c r="J11" s="321" t="e">
        <f>_xll.BDS(I11,I12,"startcol=1","endcol=2","cols=2;rows=4")</f>
        <v>#N/A</v>
      </c>
      <c r="K11" s="194">
        <v>20000</v>
      </c>
      <c r="L11" s="194"/>
      <c r="M11" s="25"/>
      <c r="N11" s="715"/>
    </row>
    <row r="12" spans="2:14">
      <c r="B12" s="1640" t="s">
        <v>734</v>
      </c>
      <c r="C12" s="190">
        <v>43880</v>
      </c>
      <c r="D12" s="194">
        <v>20000</v>
      </c>
      <c r="E12" s="194">
        <v>0</v>
      </c>
      <c r="F12" s="25"/>
      <c r="G12" s="2287">
        <f t="shared" si="0"/>
        <v>20000</v>
      </c>
      <c r="I12" s="1640" t="s">
        <v>734</v>
      </c>
      <c r="J12" s="190">
        <v>43515</v>
      </c>
      <c r="K12" s="194">
        <v>20000</v>
      </c>
      <c r="L12" s="194"/>
      <c r="M12" s="25"/>
      <c r="N12" s="715"/>
    </row>
    <row r="13" spans="2:14">
      <c r="B13" s="15"/>
      <c r="C13" s="190">
        <v>44246</v>
      </c>
      <c r="D13" s="194">
        <v>20000</v>
      </c>
      <c r="E13" s="194">
        <v>1000000</v>
      </c>
      <c r="F13" s="25"/>
      <c r="G13" s="2287">
        <f t="shared" si="0"/>
        <v>1020000</v>
      </c>
      <c r="I13" s="15"/>
      <c r="J13" s="190">
        <v>43880</v>
      </c>
      <c r="K13" s="194">
        <v>20000</v>
      </c>
      <c r="L13" s="194"/>
      <c r="M13" s="25"/>
      <c r="N13" s="715"/>
    </row>
    <row r="14" spans="2:14">
      <c r="B14" s="82"/>
      <c r="C14" s="221"/>
      <c r="D14" s="194"/>
      <c r="E14" s="194"/>
      <c r="F14" s="25"/>
      <c r="G14" s="2287">
        <f t="shared" si="0"/>
        <v>0</v>
      </c>
      <c r="I14" s="82"/>
      <c r="J14" s="221">
        <v>44246</v>
      </c>
      <c r="K14" s="194">
        <v>20000</v>
      </c>
      <c r="L14" s="194"/>
      <c r="M14" s="25"/>
      <c r="N14" s="715"/>
    </row>
    <row r="15" spans="2:14">
      <c r="B15" s="15"/>
      <c r="C15" s="190"/>
      <c r="D15" s="194"/>
      <c r="E15" s="194"/>
      <c r="F15" s="25"/>
      <c r="G15" s="2287">
        <f t="shared" si="0"/>
        <v>0</v>
      </c>
      <c r="I15" s="15"/>
      <c r="J15" s="190"/>
      <c r="K15" s="194"/>
      <c r="L15" s="194"/>
      <c r="M15" s="25"/>
      <c r="N15" s="715"/>
    </row>
    <row r="16" spans="2:14">
      <c r="B16" s="15"/>
      <c r="C16" s="190"/>
      <c r="D16" s="194"/>
      <c r="E16" s="194"/>
      <c r="F16" s="25"/>
      <c r="G16" s="2287">
        <f t="shared" si="0"/>
        <v>0</v>
      </c>
      <c r="I16" s="15"/>
      <c r="J16" s="190"/>
      <c r="K16" s="194"/>
      <c r="L16" s="194"/>
      <c r="M16" s="25"/>
      <c r="N16" s="715"/>
    </row>
    <row r="17" spans="2:15">
      <c r="B17" s="15"/>
      <c r="C17" s="190"/>
      <c r="D17" s="194"/>
      <c r="E17" s="194"/>
      <c r="F17" s="25"/>
      <c r="G17" s="2288"/>
      <c r="I17" s="15"/>
      <c r="J17" s="190"/>
      <c r="K17" s="194"/>
      <c r="L17" s="194"/>
      <c r="M17" s="25"/>
      <c r="N17" s="715"/>
    </row>
    <row r="18" spans="2:15">
      <c r="B18" s="32"/>
      <c r="C18" s="191"/>
      <c r="D18" s="192"/>
      <c r="E18" s="192"/>
      <c r="F18" s="193"/>
      <c r="G18" s="2289"/>
      <c r="I18" s="32"/>
      <c r="J18" s="191"/>
      <c r="K18" s="192"/>
      <c r="L18" s="192"/>
      <c r="M18" s="193"/>
      <c r="N18" s="716"/>
    </row>
    <row r="19" spans="2:15">
      <c r="B19" s="1154"/>
      <c r="C19" s="1154"/>
      <c r="D19" s="1154"/>
      <c r="N19" s="1118"/>
    </row>
    <row r="20" spans="2:15">
      <c r="B20" s="46" t="s">
        <v>735</v>
      </c>
      <c r="C20" s="12"/>
      <c r="D20" s="12"/>
      <c r="E20" s="12"/>
      <c r="F20" s="12"/>
      <c r="G20" s="196"/>
      <c r="H20" s="196"/>
      <c r="I20" s="196"/>
      <c r="J20" s="196"/>
      <c r="K20" s="196"/>
      <c r="L20" s="12"/>
      <c r="M20" s="113"/>
      <c r="N20" s="1279"/>
      <c r="O20" s="1118"/>
    </row>
    <row r="21" spans="2:15">
      <c r="B21" s="92"/>
      <c r="C21" s="88" t="s">
        <v>985</v>
      </c>
      <c r="D21" s="154"/>
      <c r="E21" s="154"/>
      <c r="F21" s="13"/>
      <c r="G21" s="22"/>
      <c r="H21" s="22"/>
      <c r="I21" s="22"/>
      <c r="J21" s="22"/>
      <c r="K21" s="22"/>
      <c r="L21" s="13"/>
      <c r="M21" s="25"/>
      <c r="N21" s="1279"/>
      <c r="O21" s="1118"/>
    </row>
    <row r="22" spans="2:15">
      <c r="B22" s="1640" t="s">
        <v>737</v>
      </c>
      <c r="C22" s="320" t="e">
        <f>_xll.BDS(B22,B23,"cols=11;rows=6")</f>
        <v>#N/A</v>
      </c>
      <c r="D22" s="39">
        <v>2.42</v>
      </c>
      <c r="E22" s="39">
        <v>2.27</v>
      </c>
      <c r="F22" s="39">
        <v>2.48</v>
      </c>
      <c r="G22" s="39">
        <v>2.4700000000000002</v>
      </c>
      <c r="H22" s="39">
        <v>3</v>
      </c>
      <c r="I22" s="39">
        <v>2.2000000000000002</v>
      </c>
      <c r="J22" s="39">
        <v>58</v>
      </c>
      <c r="K22" s="39">
        <v>2.5</v>
      </c>
      <c r="L22" s="39">
        <v>2.54</v>
      </c>
      <c r="M22" s="39">
        <v>-0.04</v>
      </c>
      <c r="N22" s="1279"/>
      <c r="O22" s="1118"/>
    </row>
    <row r="23" spans="2:15">
      <c r="B23" s="1640" t="s">
        <v>736</v>
      </c>
      <c r="C23" s="37" t="s">
        <v>1452</v>
      </c>
      <c r="D23" s="39">
        <v>2.61</v>
      </c>
      <c r="E23" s="39">
        <v>2.31</v>
      </c>
      <c r="F23" s="39">
        <v>2.63</v>
      </c>
      <c r="G23" s="39">
        <v>2.63</v>
      </c>
      <c r="H23" s="39">
        <v>3.17</v>
      </c>
      <c r="I23" s="39">
        <v>1.9</v>
      </c>
      <c r="J23" s="39">
        <v>58</v>
      </c>
      <c r="K23" s="39">
        <v>2.67</v>
      </c>
      <c r="L23" s="39">
        <v>2.71</v>
      </c>
      <c r="M23" s="39">
        <v>-0.04</v>
      </c>
      <c r="N23" s="1279"/>
      <c r="O23" s="1118"/>
    </row>
    <row r="24" spans="2:15">
      <c r="B24" s="112"/>
      <c r="C24" s="37" t="s">
        <v>1959</v>
      </c>
      <c r="D24" s="39">
        <v>2.75</v>
      </c>
      <c r="E24" s="39">
        <v>2.35</v>
      </c>
      <c r="F24" s="39">
        <v>2.8</v>
      </c>
      <c r="G24" s="39">
        <v>2.77</v>
      </c>
      <c r="H24" s="39">
        <v>3.65</v>
      </c>
      <c r="I24" s="39">
        <v>1.6</v>
      </c>
      <c r="J24" s="39">
        <v>58</v>
      </c>
      <c r="K24" s="39">
        <v>2.8</v>
      </c>
      <c r="L24" s="39">
        <v>2.85</v>
      </c>
      <c r="M24" s="39">
        <v>-0.05</v>
      </c>
      <c r="N24" s="1279"/>
      <c r="O24" s="1118"/>
    </row>
    <row r="25" spans="2:15">
      <c r="B25" s="15"/>
      <c r="C25" s="37" t="s">
        <v>2173</v>
      </c>
      <c r="D25" s="39">
        <v>2.86</v>
      </c>
      <c r="E25" s="39">
        <v>2.39</v>
      </c>
      <c r="F25" s="39">
        <v>2.9</v>
      </c>
      <c r="G25" s="39">
        <v>2.87</v>
      </c>
      <c r="H25" s="39">
        <v>3.6</v>
      </c>
      <c r="I25" s="39">
        <v>1.6</v>
      </c>
      <c r="J25" s="39">
        <v>57</v>
      </c>
      <c r="K25" s="39">
        <v>2.94</v>
      </c>
      <c r="L25" s="39">
        <v>2.9</v>
      </c>
      <c r="M25" s="39">
        <v>0.04</v>
      </c>
      <c r="N25" s="1279"/>
      <c r="O25" s="1118"/>
    </row>
    <row r="26" spans="2:15">
      <c r="B26" s="82"/>
      <c r="C26" s="37" t="s">
        <v>2174</v>
      </c>
      <c r="D26" s="39">
        <v>2.96</v>
      </c>
      <c r="E26" s="39">
        <v>2.42</v>
      </c>
      <c r="F26" s="39">
        <v>3.04</v>
      </c>
      <c r="G26" s="39">
        <v>2.97</v>
      </c>
      <c r="H26" s="39">
        <v>3.6</v>
      </c>
      <c r="I26" s="39">
        <v>1.6</v>
      </c>
      <c r="J26" s="39">
        <v>53</v>
      </c>
      <c r="K26" s="39">
        <v>3.05</v>
      </c>
      <c r="L26" s="39">
        <v>3</v>
      </c>
      <c r="M26" s="216">
        <v>0.05</v>
      </c>
      <c r="O26" s="1118"/>
    </row>
    <row r="27" spans="2:15">
      <c r="B27" s="789"/>
      <c r="C27" s="195" t="s">
        <v>2175</v>
      </c>
      <c r="D27" s="192">
        <v>3.09</v>
      </c>
      <c r="E27" s="192">
        <v>2.46</v>
      </c>
      <c r="F27" s="192">
        <v>3.2</v>
      </c>
      <c r="G27" s="192">
        <v>3.1</v>
      </c>
      <c r="H27" s="192">
        <v>3.7</v>
      </c>
      <c r="I27" s="192">
        <v>2.1</v>
      </c>
      <c r="J27" s="192">
        <v>48</v>
      </c>
      <c r="K27" s="192">
        <v>3.2</v>
      </c>
      <c r="L27" s="192">
        <v>3.1</v>
      </c>
      <c r="M27" s="217">
        <v>0.1</v>
      </c>
      <c r="O27" s="1118"/>
    </row>
    <row r="28" spans="2:15">
      <c r="B28" s="1118"/>
      <c r="C28" s="1118"/>
      <c r="D28" s="1118"/>
      <c r="E28" s="1118"/>
      <c r="F28" s="1118"/>
      <c r="G28" s="1118"/>
      <c r="H28" s="1118"/>
      <c r="I28" s="1118"/>
      <c r="J28" s="1118"/>
      <c r="K28" s="1118"/>
      <c r="L28" s="1118"/>
      <c r="M28" s="1118"/>
      <c r="N28" s="1118"/>
      <c r="O28" s="1118"/>
    </row>
    <row r="29" spans="2:15">
      <c r="B29" s="112" t="s">
        <v>867</v>
      </c>
      <c r="C29" s="113"/>
      <c r="D29" s="113"/>
      <c r="E29" s="113"/>
      <c r="F29" s="113"/>
      <c r="G29" s="114"/>
      <c r="H29" s="1118"/>
      <c r="M29" s="1118"/>
      <c r="N29" s="1118"/>
      <c r="O29" s="1118"/>
    </row>
    <row r="30" spans="2:15">
      <c r="B30" s="1639" t="s">
        <v>1524</v>
      </c>
      <c r="C30" s="22"/>
      <c r="D30" s="2175" t="s">
        <v>2078</v>
      </c>
      <c r="E30" s="25"/>
      <c r="F30" s="25"/>
      <c r="G30" s="189"/>
      <c r="H30" s="1118"/>
      <c r="M30" s="1118"/>
      <c r="N30" s="1118"/>
      <c r="O30" s="1118"/>
    </row>
    <row r="31" spans="2:15">
      <c r="B31" s="1640" t="s">
        <v>739</v>
      </c>
      <c r="C31" s="22"/>
      <c r="D31" s="2299" t="s">
        <v>2079</v>
      </c>
      <c r="E31" s="22"/>
      <c r="F31" s="22"/>
      <c r="G31" s="189"/>
      <c r="M31" s="1623"/>
    </row>
    <row r="32" spans="2:15">
      <c r="B32" s="1644">
        <v>1</v>
      </c>
      <c r="C32" s="154" t="s">
        <v>986</v>
      </c>
      <c r="D32" s="2299" t="s">
        <v>2080</v>
      </c>
      <c r="E32" s="22"/>
      <c r="F32" s="22"/>
      <c r="G32" s="189"/>
    </row>
    <row r="33" spans="2:10">
      <c r="B33" s="1644">
        <v>6</v>
      </c>
      <c r="C33" s="22" t="s">
        <v>987</v>
      </c>
      <c r="D33" s="25"/>
      <c r="E33" s="25"/>
      <c r="F33" s="25"/>
      <c r="G33" s="43"/>
    </row>
    <row r="34" spans="2:10">
      <c r="B34" s="445" t="s">
        <v>249</v>
      </c>
      <c r="C34" s="154"/>
      <c r="D34" s="154"/>
      <c r="E34" s="25"/>
      <c r="F34" s="25"/>
      <c r="G34" s="43"/>
    </row>
    <row r="35" spans="2:10">
      <c r="B35" s="322" t="e">
        <f>_xll.BDS(B30,B31,"startcol="&amp;B32,"endcol="&amp;B33,"cols=6;rows=8")</f>
        <v>#N/A</v>
      </c>
      <c r="C35" s="37" t="s">
        <v>740</v>
      </c>
      <c r="D35" s="204">
        <v>65.403999999999996</v>
      </c>
      <c r="E35" s="2300">
        <v>70.236000000000004</v>
      </c>
      <c r="F35" s="37">
        <v>0.4</v>
      </c>
      <c r="G35" s="2302" t="s">
        <v>1226</v>
      </c>
    </row>
    <row r="36" spans="2:10">
      <c r="B36" s="54" t="s">
        <v>741</v>
      </c>
      <c r="C36" s="37" t="s">
        <v>742</v>
      </c>
      <c r="D36" s="204">
        <v>65.403999999999996</v>
      </c>
      <c r="E36" s="2300">
        <v>70.236000000000004</v>
      </c>
      <c r="F36" s="37">
        <v>0.4</v>
      </c>
      <c r="G36" s="2302" t="s">
        <v>1226</v>
      </c>
    </row>
    <row r="37" spans="2:10">
      <c r="B37" s="54" t="s">
        <v>743</v>
      </c>
      <c r="C37" s="37" t="s">
        <v>744</v>
      </c>
      <c r="D37" s="204">
        <v>65.403999999999996</v>
      </c>
      <c r="E37" s="2300">
        <v>70.236000000000004</v>
      </c>
      <c r="F37" s="37">
        <v>0.4</v>
      </c>
      <c r="G37" s="2302" t="s">
        <v>1226</v>
      </c>
    </row>
    <row r="38" spans="2:10">
      <c r="B38" s="54" t="s">
        <v>745</v>
      </c>
      <c r="C38" s="37" t="s">
        <v>746</v>
      </c>
      <c r="D38" s="204">
        <v>65.403999999999996</v>
      </c>
      <c r="E38" s="2300">
        <v>70.236000000000004</v>
      </c>
      <c r="F38" s="37">
        <v>0.4</v>
      </c>
      <c r="G38" s="2302" t="s">
        <v>1226</v>
      </c>
    </row>
    <row r="39" spans="2:10">
      <c r="B39" s="781" t="s">
        <v>747</v>
      </c>
      <c r="C39" s="37" t="s">
        <v>748</v>
      </c>
      <c r="D39" s="204">
        <v>65.403999999999996</v>
      </c>
      <c r="E39" s="2300">
        <v>70.236000000000004</v>
      </c>
      <c r="F39" s="37">
        <v>0.4</v>
      </c>
      <c r="G39" s="2302" t="s">
        <v>1226</v>
      </c>
    </row>
    <row r="40" spans="2:10">
      <c r="B40" s="54" t="s">
        <v>749</v>
      </c>
      <c r="C40" s="37" t="s">
        <v>750</v>
      </c>
      <c r="D40" s="204">
        <v>65.403999999999996</v>
      </c>
      <c r="E40" s="2300">
        <v>70.236000000000004</v>
      </c>
      <c r="F40" s="37">
        <v>0.4</v>
      </c>
      <c r="G40" s="2302" t="s">
        <v>2170</v>
      </c>
    </row>
    <row r="41" spans="2:10">
      <c r="B41" s="54" t="s">
        <v>751</v>
      </c>
      <c r="C41" s="37" t="s">
        <v>752</v>
      </c>
      <c r="D41" s="204">
        <v>65.403999999999996</v>
      </c>
      <c r="E41" s="2300">
        <v>70.236000000000004</v>
      </c>
      <c r="F41" s="37">
        <v>0.4</v>
      </c>
      <c r="G41" s="2302" t="s">
        <v>1226</v>
      </c>
    </row>
    <row r="42" spans="2:10">
      <c r="B42" s="218" t="s">
        <v>753</v>
      </c>
      <c r="C42" s="195" t="s">
        <v>754</v>
      </c>
      <c r="D42" s="205">
        <v>65.403999999999996</v>
      </c>
      <c r="E42" s="2301">
        <v>70.236000000000004</v>
      </c>
      <c r="F42" s="195">
        <v>0.4</v>
      </c>
      <c r="G42" s="2303" t="s">
        <v>1226</v>
      </c>
    </row>
    <row r="43" spans="2:10">
      <c r="B43" s="1154"/>
      <c r="C43" s="1154"/>
      <c r="D43" s="1154"/>
    </row>
    <row r="44" spans="2:10">
      <c r="B44" s="206"/>
      <c r="C44" s="1640" t="s">
        <v>759</v>
      </c>
      <c r="D44" s="207"/>
      <c r="E44" s="207"/>
      <c r="F44" s="207"/>
      <c r="G44" s="207"/>
      <c r="H44" s="113"/>
      <c r="I44" s="113"/>
      <c r="J44" s="114"/>
    </row>
    <row r="45" spans="2:10">
      <c r="B45" s="1639" t="s">
        <v>555</v>
      </c>
      <c r="C45" s="324" t="e">
        <f>_xll.BDS(B45,C44,"cols=1;rows=5")</f>
        <v>#N/A</v>
      </c>
      <c r="D45" s="208"/>
      <c r="E45" s="208"/>
      <c r="F45" s="208"/>
      <c r="G45" s="154"/>
      <c r="H45" s="25"/>
      <c r="I45" s="25"/>
      <c r="J45" s="43"/>
    </row>
    <row r="46" spans="2:10">
      <c r="B46" s="209"/>
      <c r="C46" s="208" t="s">
        <v>2191</v>
      </c>
      <c r="D46" s="208"/>
      <c r="E46" s="208"/>
      <c r="F46" s="208"/>
      <c r="G46" s="208"/>
      <c r="H46" s="25"/>
      <c r="I46" s="25"/>
      <c r="J46" s="43"/>
    </row>
    <row r="47" spans="2:10">
      <c r="B47" s="707" t="s">
        <v>1255</v>
      </c>
      <c r="C47" s="208" t="s">
        <v>760</v>
      </c>
      <c r="D47" s="208"/>
      <c r="E47" s="208"/>
      <c r="F47" s="208"/>
      <c r="G47" s="208"/>
      <c r="H47" s="25"/>
      <c r="I47" s="25"/>
      <c r="J47" s="43"/>
    </row>
    <row r="48" spans="2:10">
      <c r="B48" s="209"/>
      <c r="C48" s="208" t="s">
        <v>761</v>
      </c>
      <c r="D48" s="208"/>
      <c r="E48" s="208"/>
      <c r="F48" s="208"/>
      <c r="G48" s="208"/>
      <c r="H48" s="25"/>
      <c r="I48" s="25"/>
      <c r="J48" s="43"/>
    </row>
    <row r="49" spans="2:14">
      <c r="B49" s="209"/>
      <c r="C49" s="208" t="s">
        <v>762</v>
      </c>
      <c r="D49" s="208"/>
      <c r="E49" s="208"/>
      <c r="F49" s="208"/>
      <c r="G49" s="208"/>
      <c r="H49" s="25"/>
      <c r="I49" s="25"/>
      <c r="J49" s="43"/>
    </row>
    <row r="50" spans="2:14">
      <c r="B50" s="209"/>
      <c r="C50" s="208"/>
      <c r="D50" s="208"/>
      <c r="E50" s="208"/>
      <c r="F50" s="208"/>
      <c r="G50" s="208"/>
      <c r="H50" s="25"/>
      <c r="I50" s="25"/>
      <c r="J50" s="43"/>
    </row>
    <row r="51" spans="2:14">
      <c r="B51" s="323"/>
      <c r="C51" s="718"/>
      <c r="D51" s="208"/>
      <c r="E51" s="81"/>
      <c r="F51" s="208"/>
      <c r="G51" s="208"/>
      <c r="H51" s="25"/>
      <c r="I51" s="25"/>
      <c r="J51" s="43"/>
    </row>
    <row r="52" spans="2:14">
      <c r="B52" s="317"/>
      <c r="C52" s="341" t="s">
        <v>991</v>
      </c>
      <c r="D52" s="210"/>
      <c r="E52" s="210"/>
      <c r="F52" s="210"/>
      <c r="G52" s="210"/>
      <c r="H52" s="35"/>
      <c r="I52" s="35"/>
      <c r="J52" s="44"/>
      <c r="L52" s="1625"/>
    </row>
    <row r="53" spans="2:14">
      <c r="B53" s="1154"/>
      <c r="C53" s="1154"/>
      <c r="D53" s="1154"/>
      <c r="K53" s="1118"/>
      <c r="L53" s="1118"/>
      <c r="M53" s="1118"/>
      <c r="N53" s="1118"/>
    </row>
    <row r="54" spans="2:14">
      <c r="B54" s="211"/>
      <c r="C54" s="207"/>
      <c r="D54" s="207"/>
      <c r="E54" s="212"/>
      <c r="G54" s="311" t="s">
        <v>882</v>
      </c>
      <c r="H54" s="168"/>
      <c r="I54" s="2021" t="s">
        <v>1794</v>
      </c>
      <c r="J54" s="113"/>
      <c r="K54" s="342"/>
      <c r="L54" s="113"/>
      <c r="M54" s="342"/>
      <c r="N54" s="1626"/>
    </row>
    <row r="55" spans="2:14">
      <c r="B55" s="209"/>
      <c r="C55" s="1640" t="s">
        <v>763</v>
      </c>
      <c r="D55" s="154"/>
      <c r="E55" s="213"/>
      <c r="G55" s="1639" t="s">
        <v>1324</v>
      </c>
      <c r="H55" s="312" t="s">
        <v>575</v>
      </c>
      <c r="I55" s="1640" t="s">
        <v>872</v>
      </c>
      <c r="J55" s="25"/>
      <c r="K55" s="115"/>
      <c r="L55" s="25"/>
      <c r="M55" s="115"/>
      <c r="N55" s="1279"/>
    </row>
    <row r="56" spans="2:14">
      <c r="B56" s="1639" t="s">
        <v>765</v>
      </c>
      <c r="C56" s="325" t="e">
        <f>_xll.BDS(B56,C55,"cols=2;rows=20")</f>
        <v>#N/A</v>
      </c>
      <c r="D56" s="267">
        <v>4.2506149999999998</v>
      </c>
      <c r="E56" s="213"/>
      <c r="G56" s="2029" t="s">
        <v>992</v>
      </c>
      <c r="H56" s="25"/>
      <c r="I56" s="25"/>
      <c r="J56" s="25"/>
      <c r="K56" s="115"/>
      <c r="L56" s="115"/>
      <c r="M56" s="25"/>
      <c r="N56" s="1279"/>
    </row>
    <row r="57" spans="2:14">
      <c r="B57" s="209"/>
      <c r="C57" s="219" t="s">
        <v>767</v>
      </c>
      <c r="D57" s="267">
        <v>2.1831689999999999</v>
      </c>
      <c r="E57" s="213"/>
      <c r="F57" s="1627"/>
      <c r="G57" s="577" t="s">
        <v>993</v>
      </c>
      <c r="H57" s="115"/>
      <c r="I57" s="115"/>
      <c r="J57" s="115"/>
      <c r="K57" s="115"/>
      <c r="L57" s="115"/>
      <c r="M57" s="25"/>
      <c r="N57" s="1279"/>
    </row>
    <row r="58" spans="2:14">
      <c r="B58" s="323" t="s">
        <v>789</v>
      </c>
      <c r="C58" s="219" t="s">
        <v>770</v>
      </c>
      <c r="D58" s="267">
        <v>4.5939819999999996</v>
      </c>
      <c r="E58" s="213"/>
      <c r="G58" s="316" t="e">
        <f>_xll.BDS(G55,I55)</f>
        <v>#N/A</v>
      </c>
      <c r="H58" s="115"/>
      <c r="I58" s="313"/>
      <c r="J58" s="314"/>
      <c r="K58" s="169"/>
      <c r="L58" s="315"/>
      <c r="M58" s="25"/>
      <c r="N58" s="1279"/>
    </row>
    <row r="59" spans="2:14">
      <c r="B59" s="209"/>
      <c r="C59" s="219" t="s">
        <v>773</v>
      </c>
      <c r="D59" s="267">
        <v>11.633608000000001</v>
      </c>
      <c r="E59" s="213"/>
      <c r="G59" s="744"/>
      <c r="H59" s="115"/>
      <c r="I59" s="313"/>
      <c r="J59" s="314"/>
      <c r="K59" s="169"/>
      <c r="L59" s="315"/>
      <c r="M59" s="25"/>
      <c r="N59" s="1279"/>
    </row>
    <row r="60" spans="2:14">
      <c r="B60" s="209"/>
      <c r="C60" s="219" t="s">
        <v>2189</v>
      </c>
      <c r="D60" s="267">
        <v>1.934315</v>
      </c>
      <c r="E60" s="213"/>
      <c r="G60" s="744"/>
      <c r="H60" s="115"/>
      <c r="I60" s="313"/>
      <c r="J60" s="314"/>
      <c r="K60" s="169"/>
      <c r="L60" s="315"/>
      <c r="M60" s="25"/>
      <c r="N60" s="1279"/>
    </row>
    <row r="61" spans="2:14">
      <c r="B61" s="209"/>
      <c r="C61" s="219" t="s">
        <v>774</v>
      </c>
      <c r="D61" s="267">
        <v>4.5260699999999998</v>
      </c>
      <c r="E61" s="213"/>
      <c r="G61" s="744"/>
      <c r="H61" s="115"/>
      <c r="I61" s="313"/>
      <c r="J61" s="314"/>
      <c r="K61" s="169"/>
      <c r="L61" s="315"/>
      <c r="M61" s="25"/>
      <c r="N61" s="1279"/>
    </row>
    <row r="62" spans="2:14">
      <c r="B62" s="209"/>
      <c r="C62" s="219" t="s">
        <v>1298</v>
      </c>
      <c r="D62" s="267">
        <v>5.0442309999999999</v>
      </c>
      <c r="E62" s="214"/>
      <c r="G62" s="744"/>
      <c r="H62" s="115"/>
      <c r="I62" s="313"/>
      <c r="J62" s="314"/>
      <c r="K62" s="169"/>
      <c r="L62" s="315"/>
      <c r="M62" s="25"/>
      <c r="N62" s="1279"/>
    </row>
    <row r="63" spans="2:14">
      <c r="B63" s="209"/>
      <c r="C63" s="219" t="s">
        <v>775</v>
      </c>
      <c r="D63" s="267">
        <v>1.7115340000000001</v>
      </c>
      <c r="E63" s="214"/>
      <c r="G63" s="744"/>
      <c r="H63" s="115"/>
      <c r="I63" s="313"/>
      <c r="J63" s="314"/>
      <c r="K63" s="169"/>
      <c r="L63" s="315"/>
      <c r="M63" s="25"/>
      <c r="N63" s="1279"/>
    </row>
    <row r="64" spans="2:14">
      <c r="B64" s="209"/>
      <c r="C64" s="219" t="s">
        <v>1390</v>
      </c>
      <c r="D64" s="267">
        <v>2.4634429999999998</v>
      </c>
      <c r="E64" s="214"/>
      <c r="G64" s="744"/>
      <c r="H64" s="115"/>
      <c r="I64" s="313"/>
      <c r="J64" s="314"/>
      <c r="K64" s="169"/>
      <c r="L64" s="315"/>
      <c r="M64" s="25"/>
      <c r="N64" s="1279"/>
    </row>
    <row r="65" spans="2:14">
      <c r="B65" s="209"/>
      <c r="C65" s="219" t="s">
        <v>1271</v>
      </c>
      <c r="D65" s="267">
        <v>1.526602</v>
      </c>
      <c r="E65" s="214"/>
      <c r="G65" s="744"/>
      <c r="H65" s="115"/>
      <c r="I65" s="313"/>
      <c r="J65" s="314"/>
      <c r="K65" s="169"/>
      <c r="L65" s="315"/>
      <c r="M65" s="25"/>
      <c r="N65" s="1279"/>
    </row>
    <row r="66" spans="2:14">
      <c r="B66" s="209"/>
      <c r="C66" s="219" t="s">
        <v>1918</v>
      </c>
      <c r="D66" s="267">
        <v>1.250076</v>
      </c>
      <c r="E66" s="214"/>
      <c r="G66" s="744"/>
      <c r="H66" s="115"/>
      <c r="I66" s="313"/>
      <c r="J66" s="314"/>
      <c r="K66" s="169"/>
      <c r="L66" s="315"/>
      <c r="M66" s="25"/>
      <c r="N66" s="1279"/>
    </row>
    <row r="67" spans="2:14">
      <c r="B67" s="209"/>
      <c r="C67" s="219" t="s">
        <v>420</v>
      </c>
      <c r="D67" s="267">
        <v>3.0108090000000001</v>
      </c>
      <c r="E67" s="213"/>
      <c r="G67" s="744" t="s">
        <v>1929</v>
      </c>
      <c r="H67" s="115"/>
      <c r="I67" s="313"/>
      <c r="J67" s="314"/>
      <c r="K67" s="169"/>
      <c r="L67" s="315"/>
      <c r="M67" s="25"/>
      <c r="N67" s="1279"/>
    </row>
    <row r="68" spans="2:14">
      <c r="B68" s="209"/>
      <c r="C68" s="219" t="s">
        <v>776</v>
      </c>
      <c r="D68" s="267">
        <v>4.2370380000000001</v>
      </c>
      <c r="E68" s="213"/>
      <c r="G68" s="744" t="s">
        <v>1928</v>
      </c>
      <c r="H68" s="115"/>
      <c r="I68" s="313"/>
      <c r="J68" s="314"/>
      <c r="K68" s="169"/>
      <c r="L68" s="315"/>
      <c r="M68" s="25"/>
      <c r="N68" s="1279"/>
    </row>
    <row r="69" spans="2:14">
      <c r="B69" s="209"/>
      <c r="C69" s="219" t="s">
        <v>2190</v>
      </c>
      <c r="D69" s="267">
        <v>1.6195390000000001</v>
      </c>
      <c r="E69" s="213"/>
      <c r="G69" s="744"/>
      <c r="H69" s="115"/>
      <c r="I69" s="313"/>
      <c r="J69" s="314"/>
      <c r="K69" s="169"/>
      <c r="L69" s="315"/>
      <c r="M69" s="25"/>
      <c r="N69" s="1279"/>
    </row>
    <row r="70" spans="2:14">
      <c r="B70" s="209"/>
      <c r="C70" s="219" t="s">
        <v>777</v>
      </c>
      <c r="D70" s="267">
        <v>30.907091000000001</v>
      </c>
      <c r="E70" s="213"/>
      <c r="G70" s="744"/>
      <c r="H70" s="115"/>
      <c r="I70" s="313"/>
      <c r="J70" s="314"/>
      <c r="K70" s="169"/>
      <c r="L70" s="315"/>
      <c r="M70" s="25"/>
      <c r="N70" s="1279"/>
    </row>
    <row r="71" spans="2:14">
      <c r="B71" s="209"/>
      <c r="C71" s="219" t="s">
        <v>778</v>
      </c>
      <c r="D71" s="267">
        <v>3.86036</v>
      </c>
      <c r="E71" s="213"/>
      <c r="G71" s="744"/>
      <c r="H71" s="115"/>
      <c r="I71" s="313"/>
      <c r="J71" s="314"/>
      <c r="K71" s="169"/>
      <c r="L71" s="315"/>
      <c r="M71" s="25"/>
      <c r="N71" s="1279"/>
    </row>
    <row r="72" spans="2:14">
      <c r="B72" s="209"/>
      <c r="C72" s="219" t="s">
        <v>1112</v>
      </c>
      <c r="D72" s="267">
        <v>4.422879</v>
      </c>
      <c r="E72" s="213"/>
      <c r="G72" s="744"/>
      <c r="H72" s="115"/>
      <c r="I72" s="313"/>
      <c r="J72" s="314"/>
      <c r="K72" s="169"/>
      <c r="L72" s="315"/>
      <c r="M72" s="25"/>
      <c r="N72" s="1279"/>
    </row>
    <row r="73" spans="2:14">
      <c r="B73" s="209"/>
      <c r="C73" s="219" t="s">
        <v>779</v>
      </c>
      <c r="D73" s="267">
        <v>1.6827380000000001</v>
      </c>
      <c r="E73" s="213"/>
      <c r="G73" s="744"/>
      <c r="H73" s="115"/>
      <c r="I73" s="313"/>
      <c r="J73" s="314"/>
      <c r="K73" s="169"/>
      <c r="L73" s="315"/>
      <c r="M73" s="25"/>
      <c r="N73" s="1279"/>
    </row>
    <row r="74" spans="2:14">
      <c r="B74" s="209"/>
      <c r="C74" s="219" t="s">
        <v>780</v>
      </c>
      <c r="D74" s="267">
        <v>7.9970359999999996</v>
      </c>
      <c r="E74" s="213"/>
      <c r="G74" s="744"/>
      <c r="H74" s="25"/>
      <c r="I74" s="25"/>
      <c r="J74" s="25"/>
      <c r="K74" s="228"/>
      <c r="L74" s="25"/>
      <c r="M74" s="43"/>
      <c r="N74" s="1279"/>
    </row>
    <row r="75" spans="2:14">
      <c r="B75" s="209"/>
      <c r="C75" s="219" t="s">
        <v>781</v>
      </c>
      <c r="D75" s="267">
        <v>1.144865</v>
      </c>
      <c r="E75" s="213"/>
      <c r="G75" s="82"/>
      <c r="H75" s="25"/>
      <c r="I75" s="25"/>
      <c r="J75" s="25"/>
      <c r="K75" s="228"/>
      <c r="L75" s="25"/>
      <c r="M75" s="25"/>
      <c r="N75" s="1279"/>
    </row>
    <row r="76" spans="2:14">
      <c r="B76" s="82"/>
      <c r="C76" s="1587"/>
      <c r="D76" s="115"/>
      <c r="E76" s="43"/>
      <c r="G76" s="2030" t="s">
        <v>1927</v>
      </c>
      <c r="H76" s="25"/>
      <c r="I76" s="2031" t="s">
        <v>873</v>
      </c>
      <c r="J76" s="2032"/>
      <c r="K76" s="2032" t="s">
        <v>883</v>
      </c>
      <c r="L76" s="25"/>
      <c r="M76" s="154"/>
      <c r="N76" s="1279"/>
    </row>
    <row r="77" spans="2:14">
      <c r="B77" s="82"/>
      <c r="C77" s="1587"/>
      <c r="D77" s="115"/>
      <c r="E77" s="43"/>
      <c r="G77" s="82"/>
      <c r="H77" s="25"/>
      <c r="I77" s="2031" t="s">
        <v>874</v>
      </c>
      <c r="J77" s="2032"/>
      <c r="K77" s="2032" t="s">
        <v>883</v>
      </c>
      <c r="L77" s="25"/>
      <c r="M77" s="154"/>
      <c r="N77" s="1279"/>
    </row>
    <row r="78" spans="2:14">
      <c r="B78" s="82"/>
      <c r="C78" s="1587"/>
      <c r="D78" s="115"/>
      <c r="E78" s="43"/>
      <c r="G78" s="82"/>
      <c r="H78" s="25"/>
      <c r="I78" s="2031" t="s">
        <v>875</v>
      </c>
      <c r="J78" s="2032"/>
      <c r="K78" s="2032" t="s">
        <v>883</v>
      </c>
      <c r="L78" s="25"/>
      <c r="M78" s="154"/>
      <c r="N78" s="1279"/>
    </row>
    <row r="79" spans="2:14">
      <c r="B79" s="82"/>
      <c r="C79" s="1587"/>
      <c r="D79" s="115"/>
      <c r="E79" s="43"/>
      <c r="G79" s="82"/>
      <c r="H79" s="25"/>
      <c r="I79" s="2031" t="s">
        <v>876</v>
      </c>
      <c r="J79" s="2032"/>
      <c r="K79" s="2032" t="s">
        <v>883</v>
      </c>
      <c r="L79" s="25"/>
      <c r="M79" s="154"/>
      <c r="N79" s="1279"/>
    </row>
    <row r="80" spans="2:14">
      <c r="B80" s="789"/>
      <c r="C80" s="303"/>
      <c r="D80" s="35"/>
      <c r="E80" s="44"/>
      <c r="G80" s="82"/>
      <c r="H80" s="25"/>
      <c r="I80" s="2031" t="s">
        <v>877</v>
      </c>
      <c r="J80" s="2032"/>
      <c r="K80" s="2032" t="s">
        <v>884</v>
      </c>
      <c r="L80" s="25"/>
      <c r="M80" s="154"/>
      <c r="N80" s="1279"/>
    </row>
    <row r="81" spans="2:14">
      <c r="B81" s="1154"/>
      <c r="C81" s="1154"/>
      <c r="D81" s="1154"/>
      <c r="G81" s="82"/>
      <c r="H81" s="25"/>
      <c r="I81" s="2031" t="s">
        <v>878</v>
      </c>
      <c r="J81" s="2032"/>
      <c r="K81" s="2032" t="s">
        <v>884</v>
      </c>
      <c r="L81" s="25"/>
      <c r="M81" s="154"/>
      <c r="N81" s="1279"/>
    </row>
    <row r="82" spans="2:14" ht="15.75">
      <c r="B82" s="197"/>
      <c r="C82" s="198"/>
      <c r="D82" s="198"/>
      <c r="E82" s="198"/>
      <c r="F82" s="1628"/>
      <c r="G82" s="82"/>
      <c r="H82" s="25"/>
      <c r="I82" s="2033" t="s">
        <v>879</v>
      </c>
      <c r="J82" s="2032"/>
      <c r="K82" s="2032" t="s">
        <v>884</v>
      </c>
      <c r="L82" s="25"/>
      <c r="M82" s="154"/>
      <c r="N82" s="1279"/>
    </row>
    <row r="83" spans="2:14" ht="15.75">
      <c r="B83" s="201" t="s">
        <v>766</v>
      </c>
      <c r="C83" s="1644">
        <v>20080101</v>
      </c>
      <c r="D83" s="199"/>
      <c r="E83" s="199"/>
      <c r="F83" s="1628"/>
      <c r="G83" s="82"/>
      <c r="H83" s="25"/>
      <c r="I83" s="2033" t="s">
        <v>880</v>
      </c>
      <c r="J83" s="2032"/>
      <c r="K83" s="2032" t="s">
        <v>884</v>
      </c>
      <c r="L83" s="25"/>
      <c r="M83" s="154"/>
      <c r="N83" s="1279"/>
    </row>
    <row r="84" spans="2:14" ht="15.75">
      <c r="B84" s="201" t="s">
        <v>764</v>
      </c>
      <c r="C84" s="1644">
        <v>20090630</v>
      </c>
      <c r="D84" s="199"/>
      <c r="E84" s="199"/>
      <c r="F84" s="1628"/>
      <c r="G84" s="82"/>
      <c r="H84" s="25"/>
      <c r="I84" s="2031" t="s">
        <v>881</v>
      </c>
      <c r="J84" s="2032"/>
      <c r="K84" s="2032" t="s">
        <v>884</v>
      </c>
      <c r="L84" s="25"/>
      <c r="M84" s="154"/>
      <c r="N84" s="1279"/>
    </row>
    <row r="85" spans="2:14" ht="15.75">
      <c r="B85" s="201" t="s">
        <v>768</v>
      </c>
      <c r="C85" s="1640" t="s">
        <v>769</v>
      </c>
      <c r="D85" s="225"/>
      <c r="E85" s="199"/>
      <c r="F85" s="1628"/>
      <c r="G85" s="789"/>
      <c r="H85" s="35"/>
      <c r="I85" s="35"/>
      <c r="J85" s="35"/>
      <c r="K85" s="35"/>
      <c r="L85" s="35"/>
      <c r="M85" s="35"/>
      <c r="N85" s="1279"/>
    </row>
    <row r="86" spans="2:14" ht="15.75">
      <c r="B86" s="1639" t="s">
        <v>771</v>
      </c>
      <c r="C86" s="1643" t="s">
        <v>772</v>
      </c>
      <c r="D86" s="224"/>
      <c r="E86" s="199"/>
      <c r="F86" s="1628"/>
      <c r="G86" s="1118"/>
    </row>
    <row r="87" spans="2:14" ht="15.75">
      <c r="B87" s="201"/>
      <c r="C87" s="25"/>
      <c r="D87" s="154"/>
      <c r="E87" s="199"/>
      <c r="F87" s="1628"/>
      <c r="G87" s="1118"/>
      <c r="H87" s="2291"/>
      <c r="I87" s="2291"/>
      <c r="J87" s="1118"/>
      <c r="K87" s="1118"/>
      <c r="L87" s="1118"/>
      <c r="M87" s="1118"/>
    </row>
    <row r="88" spans="2:14" ht="15.75">
      <c r="B88" s="201"/>
      <c r="C88" s="319" t="e">
        <f>_xll.BDS(B86,C86,B83:B85,C83:C85,"cols=1;rows=13")</f>
        <v>#N/A</v>
      </c>
      <c r="D88" s="225" t="s">
        <v>790</v>
      </c>
      <c r="E88" s="199"/>
      <c r="F88" s="1628"/>
      <c r="G88" s="2292"/>
      <c r="H88" s="2292"/>
      <c r="I88" s="2292"/>
      <c r="J88" s="2293"/>
      <c r="K88" s="1118"/>
      <c r="L88" s="1118"/>
      <c r="M88" s="1118"/>
    </row>
    <row r="89" spans="2:14" ht="15.75">
      <c r="B89" s="201"/>
      <c r="C89" s="215">
        <v>39528</v>
      </c>
      <c r="D89" s="199"/>
      <c r="E89" s="199"/>
      <c r="F89" s="1628"/>
      <c r="G89" s="1118"/>
      <c r="H89" s="1118"/>
      <c r="I89" s="1118"/>
      <c r="J89" s="2294"/>
      <c r="K89" s="1118"/>
      <c r="L89" s="1118"/>
      <c r="M89" s="1118"/>
    </row>
    <row r="90" spans="2:14" ht="15.75">
      <c r="B90" s="201"/>
      <c r="C90" s="215">
        <v>39531</v>
      </c>
      <c r="D90" s="199"/>
      <c r="E90" s="199"/>
      <c r="F90" s="1628"/>
      <c r="G90" s="1118"/>
      <c r="H90" s="1118"/>
      <c r="I90" s="1118"/>
      <c r="J90" s="2294"/>
      <c r="K90" s="1118"/>
      <c r="L90" s="1118"/>
      <c r="M90" s="1118"/>
    </row>
    <row r="91" spans="2:14" ht="15.75">
      <c r="B91" s="201"/>
      <c r="C91" s="215">
        <v>39573</v>
      </c>
      <c r="D91" s="199"/>
      <c r="E91" s="199"/>
      <c r="F91" s="1628"/>
      <c r="G91" s="1118"/>
      <c r="H91" s="1118"/>
      <c r="I91" s="1118"/>
      <c r="J91" s="2294"/>
      <c r="K91" s="1118"/>
      <c r="L91" s="1118"/>
      <c r="M91" s="1118"/>
    </row>
    <row r="92" spans="2:14" ht="15.75">
      <c r="B92" s="201"/>
      <c r="C92" s="215">
        <v>39594</v>
      </c>
      <c r="D92" s="199"/>
      <c r="E92" s="199"/>
      <c r="F92" s="1628"/>
      <c r="G92" s="1118"/>
      <c r="H92" s="1118"/>
      <c r="I92" s="1118"/>
      <c r="J92" s="2294"/>
      <c r="K92" s="1118"/>
      <c r="L92" s="1118"/>
      <c r="M92" s="1118"/>
    </row>
    <row r="93" spans="2:14" ht="15.75">
      <c r="B93" s="201"/>
      <c r="C93" s="215">
        <v>39685</v>
      </c>
      <c r="D93" s="199"/>
      <c r="E93" s="199"/>
      <c r="F93" s="1628"/>
      <c r="G93" s="2295"/>
      <c r="H93" s="1118"/>
      <c r="I93" s="1118"/>
      <c r="J93" s="1118"/>
      <c r="K93" s="1118"/>
      <c r="L93" s="1118"/>
      <c r="M93" s="1118"/>
    </row>
    <row r="94" spans="2:14" ht="15.75">
      <c r="B94" s="201"/>
      <c r="C94" s="215">
        <v>39807</v>
      </c>
      <c r="D94" s="199"/>
      <c r="E94" s="199"/>
      <c r="F94" s="1628"/>
      <c r="G94" s="1118"/>
      <c r="H94" s="1118"/>
      <c r="I94" s="1118"/>
      <c r="J94" s="1118"/>
      <c r="K94" s="1118"/>
      <c r="L94" s="1118"/>
      <c r="M94" s="1118"/>
    </row>
    <row r="95" spans="2:14" ht="15.75">
      <c r="B95" s="201"/>
      <c r="C95" s="215">
        <v>39808</v>
      </c>
      <c r="D95" s="199"/>
      <c r="E95" s="199"/>
      <c r="F95" s="1628"/>
      <c r="G95" s="1118"/>
      <c r="H95" s="1118"/>
      <c r="I95" s="1118"/>
      <c r="J95" s="1118"/>
      <c r="K95" s="1118"/>
      <c r="L95" s="2291"/>
      <c r="M95" s="1118"/>
    </row>
    <row r="96" spans="2:14" ht="15.75">
      <c r="B96" s="201"/>
      <c r="C96" s="215">
        <v>39814</v>
      </c>
      <c r="D96" s="199"/>
      <c r="E96" s="199"/>
      <c r="F96" s="1628"/>
      <c r="G96" s="2292"/>
      <c r="H96" s="2292"/>
      <c r="I96" s="2292"/>
      <c r="J96" s="2296"/>
      <c r="K96" s="1118"/>
      <c r="L96" s="2297"/>
      <c r="M96" s="1118"/>
    </row>
    <row r="97" spans="2:17" ht="15.75">
      <c r="B97" s="201"/>
      <c r="C97" s="215">
        <v>39913</v>
      </c>
      <c r="D97" s="199"/>
      <c r="E97" s="199"/>
      <c r="F97" s="1628"/>
      <c r="G97" s="1118"/>
      <c r="H97" s="2292"/>
      <c r="I97" s="2292"/>
      <c r="J97" s="1118"/>
      <c r="K97" s="1118"/>
      <c r="L97" s="2297"/>
      <c r="M97" s="1118"/>
    </row>
    <row r="98" spans="2:17" ht="15.75">
      <c r="B98" s="201"/>
      <c r="C98" s="215">
        <v>39916</v>
      </c>
      <c r="D98" s="199"/>
      <c r="E98" s="199"/>
      <c r="F98" s="1628"/>
      <c r="G98" s="1118"/>
      <c r="H98" s="1118"/>
      <c r="I98" s="1118"/>
      <c r="J98" s="1118"/>
      <c r="K98" s="2295"/>
      <c r="L98" s="1118"/>
      <c r="M98" s="1118"/>
    </row>
    <row r="99" spans="2:17" ht="15.75">
      <c r="B99" s="201"/>
      <c r="C99" s="215">
        <v>39937</v>
      </c>
      <c r="D99" s="199"/>
      <c r="E99" s="199"/>
      <c r="F99" s="1628"/>
      <c r="G99" s="1118"/>
      <c r="H99" s="1118"/>
      <c r="I99" s="1118"/>
      <c r="J99" s="1118"/>
      <c r="K99" s="1118"/>
      <c r="L99" s="1118"/>
      <c r="M99" s="1118"/>
    </row>
    <row r="100" spans="2:17" ht="15.75">
      <c r="B100" s="201"/>
      <c r="C100" s="215">
        <v>39958</v>
      </c>
      <c r="D100" s="199"/>
      <c r="E100" s="200"/>
      <c r="F100" s="1629"/>
      <c r="G100" s="2295"/>
      <c r="H100" s="1118"/>
      <c r="I100" s="1118"/>
      <c r="J100" s="1118"/>
      <c r="K100" s="1118"/>
      <c r="L100" s="1118"/>
      <c r="M100" s="1118"/>
    </row>
    <row r="101" spans="2:17" ht="15.75">
      <c r="B101" s="201"/>
      <c r="C101" s="215"/>
      <c r="D101" s="199"/>
      <c r="E101" s="199"/>
      <c r="F101" s="1628"/>
      <c r="G101" s="1118"/>
      <c r="H101" s="1118"/>
      <c r="I101" s="1118"/>
      <c r="J101" s="1118"/>
      <c r="K101" s="1118"/>
      <c r="L101" s="1118"/>
      <c r="M101" s="1118"/>
    </row>
    <row r="102" spans="2:17" ht="15.75">
      <c r="B102" s="201"/>
      <c r="C102" s="215"/>
      <c r="D102" s="199"/>
      <c r="E102" s="199"/>
      <c r="F102" s="1628"/>
      <c r="G102" s="2298"/>
      <c r="H102" s="1118"/>
      <c r="I102" s="1118"/>
      <c r="J102" s="1118"/>
      <c r="K102" s="1118"/>
      <c r="L102" s="1118"/>
      <c r="M102" s="1118"/>
    </row>
    <row r="103" spans="2:17" ht="15.75">
      <c r="B103" s="202"/>
      <c r="C103" s="223"/>
      <c r="D103" s="203"/>
      <c r="E103" s="203"/>
      <c r="F103" s="1628"/>
      <c r="G103" s="1118"/>
      <c r="H103" s="1118"/>
      <c r="I103" s="1118"/>
      <c r="J103" s="1118"/>
      <c r="K103" s="1118"/>
      <c r="L103" s="1118"/>
      <c r="M103" s="1118"/>
    </row>
    <row r="104" spans="2:17">
      <c r="B104" s="1154"/>
      <c r="C104" s="1623"/>
      <c r="D104" s="1154"/>
    </row>
    <row r="105" spans="2:17" ht="15.75">
      <c r="B105" s="892" t="s">
        <v>784</v>
      </c>
      <c r="C105" s="1640" t="s">
        <v>786</v>
      </c>
      <c r="D105" s="893"/>
      <c r="E105" s="198"/>
      <c r="F105" s="113"/>
      <c r="G105" s="894"/>
      <c r="H105" s="895"/>
      <c r="I105" s="895"/>
      <c r="J105" s="895"/>
      <c r="K105" s="895"/>
      <c r="L105" s="895"/>
      <c r="M105" s="198"/>
      <c r="N105" s="113"/>
      <c r="O105" s="113"/>
      <c r="P105" s="113"/>
      <c r="Q105" s="114"/>
    </row>
    <row r="106" spans="2:17" ht="15.75">
      <c r="B106" s="896"/>
      <c r="C106" s="1640" t="s">
        <v>785</v>
      </c>
      <c r="D106" s="787"/>
      <c r="E106" s="897"/>
      <c r="F106" s="898"/>
      <c r="G106" s="897"/>
      <c r="H106" s="899"/>
      <c r="I106" s="899"/>
      <c r="J106" s="899"/>
      <c r="K106" s="899"/>
      <c r="L106" s="899"/>
      <c r="M106" s="199"/>
      <c r="N106" s="25"/>
      <c r="O106" s="25"/>
      <c r="P106" s="25"/>
      <c r="Q106" s="43"/>
    </row>
    <row r="107" spans="2:17" ht="15.75">
      <c r="B107" s="1639" t="s">
        <v>1321</v>
      </c>
      <c r="C107" s="1640" t="s">
        <v>829</v>
      </c>
      <c r="D107" s="787"/>
      <c r="E107" s="25"/>
      <c r="F107" s="225"/>
      <c r="G107" s="897"/>
      <c r="H107" s="899"/>
      <c r="I107" s="899"/>
      <c r="J107" s="900"/>
      <c r="K107" s="899"/>
      <c r="L107" s="899"/>
      <c r="M107" s="199"/>
      <c r="N107" s="25"/>
      <c r="O107" s="25"/>
      <c r="P107" s="25"/>
      <c r="Q107" s="43"/>
    </row>
    <row r="108" spans="2:17" ht="15.75">
      <c r="B108" s="896"/>
      <c r="C108" s="25"/>
      <c r="D108" s="787"/>
      <c r="E108" s="901" t="s">
        <v>1629</v>
      </c>
      <c r="F108" s="902"/>
      <c r="G108" s="199"/>
      <c r="H108" s="899"/>
      <c r="I108" s="899"/>
      <c r="J108" s="900"/>
      <c r="K108" s="899"/>
      <c r="L108" s="899"/>
      <c r="M108" s="199"/>
      <c r="N108" s="25"/>
      <c r="O108" s="25"/>
      <c r="P108" s="25"/>
      <c r="Q108" s="43"/>
    </row>
    <row r="109" spans="2:17" ht="15.75">
      <c r="B109" s="903"/>
      <c r="C109" s="190"/>
      <c r="D109" s="787"/>
      <c r="E109" s="904" t="e">
        <f>_xll.BDS(B107,C105,C106,C107,"cols=10;rows=20")</f>
        <v>#N/A</v>
      </c>
      <c r="F109" s="905" t="s">
        <v>1272</v>
      </c>
      <c r="G109" s="906" t="s">
        <v>1273</v>
      </c>
      <c r="H109" s="907">
        <v>30348584</v>
      </c>
      <c r="I109" s="899">
        <v>0.57999999999999996</v>
      </c>
      <c r="J109" s="908">
        <v>-167117</v>
      </c>
      <c r="K109" s="215">
        <v>42825</v>
      </c>
      <c r="L109" s="909" t="s">
        <v>1317</v>
      </c>
      <c r="M109" s="199" t="s">
        <v>1704</v>
      </c>
      <c r="N109" s="25" t="s">
        <v>0</v>
      </c>
      <c r="O109" s="25"/>
      <c r="P109" s="25"/>
      <c r="Q109" s="43"/>
    </row>
    <row r="110" spans="2:17" ht="15.75">
      <c r="B110" s="786"/>
      <c r="C110" s="2136" t="s">
        <v>984</v>
      </c>
      <c r="D110" s="787"/>
      <c r="E110" s="905" t="s">
        <v>1404</v>
      </c>
      <c r="F110" s="905" t="s">
        <v>1272</v>
      </c>
      <c r="G110" s="906" t="s">
        <v>1273</v>
      </c>
      <c r="H110" s="907">
        <v>18211197</v>
      </c>
      <c r="I110" s="899">
        <v>0.35</v>
      </c>
      <c r="J110" s="908">
        <v>1436529</v>
      </c>
      <c r="K110" s="215">
        <v>42825</v>
      </c>
      <c r="L110" s="909" t="s">
        <v>1317</v>
      </c>
      <c r="M110" s="199" t="s">
        <v>1705</v>
      </c>
      <c r="N110" s="25" t="s">
        <v>1318</v>
      </c>
      <c r="O110" s="25"/>
      <c r="P110" s="25"/>
      <c r="Q110" s="43"/>
    </row>
    <row r="111" spans="2:17" ht="15.75">
      <c r="B111" s="786"/>
      <c r="C111" s="2137" t="s">
        <v>842</v>
      </c>
      <c r="D111" s="787"/>
      <c r="E111" s="905" t="s">
        <v>1453</v>
      </c>
      <c r="F111" s="905" t="s">
        <v>1272</v>
      </c>
      <c r="G111" s="906" t="s">
        <v>1273</v>
      </c>
      <c r="H111" s="907">
        <v>13465440</v>
      </c>
      <c r="I111" s="899">
        <v>0.26</v>
      </c>
      <c r="J111" s="908">
        <v>-31606</v>
      </c>
      <c r="K111" s="215">
        <v>42825</v>
      </c>
      <c r="L111" s="909" t="s">
        <v>1317</v>
      </c>
      <c r="M111" s="199" t="s">
        <v>1704</v>
      </c>
      <c r="N111" s="25" t="s">
        <v>1320</v>
      </c>
      <c r="O111" s="25"/>
      <c r="P111" s="25"/>
      <c r="Q111" s="43"/>
    </row>
    <row r="112" spans="2:17" ht="15.75">
      <c r="B112" s="786"/>
      <c r="C112" s="2138" t="s">
        <v>828</v>
      </c>
      <c r="D112" s="787"/>
      <c r="E112" s="905" t="s">
        <v>1455</v>
      </c>
      <c r="F112" s="905" t="s">
        <v>1272</v>
      </c>
      <c r="G112" s="906" t="s">
        <v>1273</v>
      </c>
      <c r="H112" s="907">
        <v>10229644</v>
      </c>
      <c r="I112" s="899">
        <v>0.2</v>
      </c>
      <c r="J112" s="908">
        <v>-930223</v>
      </c>
      <c r="K112" s="215">
        <v>42825</v>
      </c>
      <c r="L112" s="909" t="s">
        <v>1317</v>
      </c>
      <c r="M112" s="199" t="s">
        <v>1704</v>
      </c>
      <c r="N112" s="25" t="s">
        <v>0</v>
      </c>
      <c r="O112" s="25"/>
      <c r="P112" s="25"/>
      <c r="Q112" s="43"/>
    </row>
    <row r="113" spans="2:17" ht="15.75">
      <c r="B113" s="786"/>
      <c r="C113" s="2138" t="s">
        <v>840</v>
      </c>
      <c r="D113" s="787"/>
      <c r="E113" s="905" t="s">
        <v>2192</v>
      </c>
      <c r="F113" s="905" t="s">
        <v>1272</v>
      </c>
      <c r="G113" s="906" t="s">
        <v>1273</v>
      </c>
      <c r="H113" s="907">
        <v>8785796</v>
      </c>
      <c r="I113" s="899">
        <v>0.17</v>
      </c>
      <c r="J113" s="908">
        <v>-114313</v>
      </c>
      <c r="K113" s="215">
        <v>42825</v>
      </c>
      <c r="L113" s="909" t="s">
        <v>1317</v>
      </c>
      <c r="M113" s="199" t="s">
        <v>1704</v>
      </c>
      <c r="N113" s="25" t="s">
        <v>2193</v>
      </c>
      <c r="O113" s="25"/>
      <c r="P113" s="25"/>
      <c r="Q113" s="43"/>
    </row>
    <row r="114" spans="2:17" ht="15.75">
      <c r="B114" s="786"/>
      <c r="C114" s="2138" t="s">
        <v>830</v>
      </c>
      <c r="D114" s="787"/>
      <c r="E114" s="905" t="s">
        <v>1857</v>
      </c>
      <c r="F114" s="905" t="s">
        <v>1857</v>
      </c>
      <c r="G114" s="906" t="s">
        <v>787</v>
      </c>
      <c r="H114" s="907">
        <v>8174563</v>
      </c>
      <c r="I114" s="899">
        <v>0.16</v>
      </c>
      <c r="J114" s="908">
        <v>0</v>
      </c>
      <c r="K114" s="215">
        <v>42825</v>
      </c>
      <c r="L114" s="909" t="s">
        <v>1317</v>
      </c>
      <c r="M114" s="199" t="s">
        <v>1704</v>
      </c>
      <c r="N114" s="25" t="s">
        <v>1415</v>
      </c>
      <c r="O114" s="25"/>
      <c r="P114" s="25"/>
      <c r="Q114" s="43"/>
    </row>
    <row r="115" spans="2:17" ht="15.75">
      <c r="B115" s="786"/>
      <c r="C115" s="2138" t="s">
        <v>841</v>
      </c>
      <c r="D115" s="787"/>
      <c r="E115" s="905" t="s">
        <v>2194</v>
      </c>
      <c r="F115" s="905" t="s">
        <v>1272</v>
      </c>
      <c r="G115" s="906" t="s">
        <v>1273</v>
      </c>
      <c r="H115" s="907">
        <v>6714034</v>
      </c>
      <c r="I115" s="899">
        <v>0.13</v>
      </c>
      <c r="J115" s="908">
        <v>2295419</v>
      </c>
      <c r="K115" s="215">
        <v>42825</v>
      </c>
      <c r="L115" s="909" t="s">
        <v>1317</v>
      </c>
      <c r="M115" s="199" t="s">
        <v>1707</v>
      </c>
      <c r="N115" s="25" t="s">
        <v>2195</v>
      </c>
      <c r="O115" s="25"/>
      <c r="P115" s="25"/>
      <c r="Q115" s="43"/>
    </row>
    <row r="116" spans="2:17" ht="15.75">
      <c r="B116" s="786"/>
      <c r="C116" s="2138" t="s">
        <v>831</v>
      </c>
      <c r="D116" s="787"/>
      <c r="E116" s="905" t="s">
        <v>1819</v>
      </c>
      <c r="F116" s="905" t="s">
        <v>1272</v>
      </c>
      <c r="G116" s="906" t="s">
        <v>1273</v>
      </c>
      <c r="H116" s="907">
        <v>4887903</v>
      </c>
      <c r="I116" s="899">
        <v>0.09</v>
      </c>
      <c r="J116" s="908">
        <v>-328407</v>
      </c>
      <c r="K116" s="215">
        <v>42855</v>
      </c>
      <c r="L116" s="909" t="s">
        <v>1317</v>
      </c>
      <c r="M116" s="199" t="s">
        <v>1708</v>
      </c>
      <c r="N116" s="25" t="s">
        <v>1709</v>
      </c>
      <c r="O116" s="25"/>
      <c r="P116" s="25"/>
      <c r="Q116" s="43"/>
    </row>
    <row r="117" spans="2:17" ht="15.75">
      <c r="B117" s="786"/>
      <c r="C117" s="2138" t="s">
        <v>838</v>
      </c>
      <c r="D117" s="787"/>
      <c r="E117" s="905" t="s">
        <v>1322</v>
      </c>
      <c r="F117" s="905" t="s">
        <v>1272</v>
      </c>
      <c r="G117" s="906" t="s">
        <v>1273</v>
      </c>
      <c r="H117" s="907">
        <v>3770300</v>
      </c>
      <c r="I117" s="899">
        <v>7.0000000000000007E-2</v>
      </c>
      <c r="J117" s="908">
        <v>-211000</v>
      </c>
      <c r="K117" s="215">
        <v>42825</v>
      </c>
      <c r="L117" s="909" t="s">
        <v>1317</v>
      </c>
      <c r="M117" s="199" t="s">
        <v>1704</v>
      </c>
      <c r="N117" s="25" t="s">
        <v>1416</v>
      </c>
      <c r="O117" s="25"/>
      <c r="P117" s="25"/>
      <c r="Q117" s="43"/>
    </row>
    <row r="118" spans="2:17" ht="15.75">
      <c r="B118" s="786"/>
      <c r="C118" s="2138" t="s">
        <v>829</v>
      </c>
      <c r="D118" s="787"/>
      <c r="E118" s="905" t="s">
        <v>2196</v>
      </c>
      <c r="F118" s="905" t="s">
        <v>1272</v>
      </c>
      <c r="G118" s="906" t="s">
        <v>1273</v>
      </c>
      <c r="H118" s="907">
        <v>3714784</v>
      </c>
      <c r="I118" s="899">
        <v>7.0000000000000007E-2</v>
      </c>
      <c r="J118" s="908">
        <v>-256245</v>
      </c>
      <c r="K118" s="215">
        <v>42825</v>
      </c>
      <c r="L118" s="909" t="s">
        <v>1317</v>
      </c>
      <c r="M118" s="199" t="s">
        <v>1704</v>
      </c>
      <c r="N118" s="25" t="s">
        <v>1706</v>
      </c>
      <c r="O118" s="25"/>
      <c r="P118" s="25"/>
      <c r="Q118" s="43"/>
    </row>
    <row r="119" spans="2:17" ht="15.75">
      <c r="B119" s="786"/>
      <c r="C119" s="2138" t="s">
        <v>832</v>
      </c>
      <c r="D119" s="787"/>
      <c r="E119" s="905" t="s">
        <v>1417</v>
      </c>
      <c r="F119" s="905" t="s">
        <v>1272</v>
      </c>
      <c r="G119" s="906" t="s">
        <v>1273</v>
      </c>
      <c r="H119" s="907">
        <v>3218255</v>
      </c>
      <c r="I119" s="899">
        <v>0.06</v>
      </c>
      <c r="J119" s="908">
        <v>-98986</v>
      </c>
      <c r="K119" s="215">
        <v>42825</v>
      </c>
      <c r="L119" s="909" t="s">
        <v>1317</v>
      </c>
      <c r="M119" s="199" t="s">
        <v>1704</v>
      </c>
      <c r="N119" s="25" t="s">
        <v>788</v>
      </c>
      <c r="O119" s="25"/>
      <c r="P119" s="25"/>
      <c r="Q119" s="43"/>
    </row>
    <row r="120" spans="2:17" ht="15.75">
      <c r="B120" s="786"/>
      <c r="C120" s="2138" t="s">
        <v>833</v>
      </c>
      <c r="D120" s="787"/>
      <c r="E120" s="905" t="s">
        <v>2197</v>
      </c>
      <c r="F120" s="905" t="s">
        <v>1272</v>
      </c>
      <c r="G120" s="906" t="s">
        <v>1273</v>
      </c>
      <c r="H120" s="907">
        <v>2738153</v>
      </c>
      <c r="I120" s="899">
        <v>0.05</v>
      </c>
      <c r="J120" s="908">
        <v>7531</v>
      </c>
      <c r="K120" s="215">
        <v>42825</v>
      </c>
      <c r="L120" s="909" t="s">
        <v>1317</v>
      </c>
      <c r="M120" s="199" t="s">
        <v>2198</v>
      </c>
      <c r="N120" s="25" t="s">
        <v>2199</v>
      </c>
      <c r="O120" s="25"/>
      <c r="P120" s="25"/>
      <c r="Q120" s="43"/>
    </row>
    <row r="121" spans="2:17" ht="15.75">
      <c r="B121" s="786"/>
      <c r="C121" s="2138" t="s">
        <v>836</v>
      </c>
      <c r="D121" s="787"/>
      <c r="E121" s="905" t="s">
        <v>1319</v>
      </c>
      <c r="F121" s="905" t="s">
        <v>1272</v>
      </c>
      <c r="G121" s="906" t="s">
        <v>1273</v>
      </c>
      <c r="H121" s="907">
        <v>1786405</v>
      </c>
      <c r="I121" s="899">
        <v>0.03</v>
      </c>
      <c r="J121" s="908">
        <v>114727</v>
      </c>
      <c r="K121" s="215">
        <v>42825</v>
      </c>
      <c r="L121" s="909" t="s">
        <v>1317</v>
      </c>
      <c r="M121" s="199" t="s">
        <v>1704</v>
      </c>
      <c r="N121" s="25" t="s">
        <v>1320</v>
      </c>
      <c r="O121" s="25"/>
      <c r="P121" s="25"/>
      <c r="Q121" s="43"/>
    </row>
    <row r="122" spans="2:17" ht="15.75">
      <c r="B122" s="786"/>
      <c r="C122" s="2138" t="s">
        <v>834</v>
      </c>
      <c r="D122" s="787"/>
      <c r="E122" s="905" t="s">
        <v>2200</v>
      </c>
      <c r="F122" s="905" t="s">
        <v>1272</v>
      </c>
      <c r="G122" s="906" t="s">
        <v>1273</v>
      </c>
      <c r="H122" s="907">
        <v>1628554</v>
      </c>
      <c r="I122" s="899">
        <v>0.03</v>
      </c>
      <c r="J122" s="908">
        <v>439657</v>
      </c>
      <c r="K122" s="215">
        <v>42825</v>
      </c>
      <c r="L122" s="909" t="s">
        <v>1317</v>
      </c>
      <c r="M122" s="199" t="s">
        <v>1704</v>
      </c>
      <c r="N122" s="25" t="s">
        <v>2201</v>
      </c>
      <c r="O122" s="25"/>
      <c r="P122" s="25"/>
      <c r="Q122" s="43"/>
    </row>
    <row r="123" spans="2:17" ht="15.75">
      <c r="B123" s="786"/>
      <c r="C123" s="2138" t="s">
        <v>837</v>
      </c>
      <c r="D123" s="787"/>
      <c r="E123" s="905" t="s">
        <v>1323</v>
      </c>
      <c r="F123" s="905" t="s">
        <v>1272</v>
      </c>
      <c r="G123" s="906" t="s">
        <v>1273</v>
      </c>
      <c r="H123" s="907">
        <v>1400000</v>
      </c>
      <c r="I123" s="899">
        <v>0.03</v>
      </c>
      <c r="J123" s="908">
        <v>0</v>
      </c>
      <c r="K123" s="215">
        <v>42825</v>
      </c>
      <c r="L123" s="909" t="s">
        <v>1317</v>
      </c>
      <c r="M123" s="199" t="s">
        <v>1704</v>
      </c>
      <c r="N123" s="25" t="s">
        <v>0</v>
      </c>
      <c r="O123" s="25"/>
      <c r="P123" s="25"/>
      <c r="Q123" s="43"/>
    </row>
    <row r="124" spans="2:17" ht="15.75">
      <c r="B124" s="786"/>
      <c r="C124" s="2138" t="s">
        <v>835</v>
      </c>
      <c r="D124" s="787"/>
      <c r="E124" s="905" t="s">
        <v>2202</v>
      </c>
      <c r="F124" s="905" t="s">
        <v>1272</v>
      </c>
      <c r="G124" s="906" t="s">
        <v>1393</v>
      </c>
      <c r="H124" s="907">
        <v>1381000</v>
      </c>
      <c r="I124" s="899">
        <v>0.03</v>
      </c>
      <c r="J124" s="908">
        <v>1381000</v>
      </c>
      <c r="K124" s="215">
        <v>42735</v>
      </c>
      <c r="L124" s="909" t="s">
        <v>1317</v>
      </c>
      <c r="M124" s="199" t="s">
        <v>1704</v>
      </c>
      <c r="N124" s="25" t="s">
        <v>2203</v>
      </c>
      <c r="O124" s="25"/>
      <c r="P124" s="25"/>
      <c r="Q124" s="43"/>
    </row>
    <row r="125" spans="2:17" ht="15.75">
      <c r="B125" s="786"/>
      <c r="C125" s="2139" t="s">
        <v>839</v>
      </c>
      <c r="D125" s="787"/>
      <c r="E125" s="905" t="s">
        <v>2204</v>
      </c>
      <c r="F125" s="905" t="s">
        <v>1272</v>
      </c>
      <c r="G125" s="906" t="s">
        <v>1393</v>
      </c>
      <c r="H125" s="907">
        <v>1351000</v>
      </c>
      <c r="I125" s="899">
        <v>0.03</v>
      </c>
      <c r="J125" s="908">
        <v>1351000</v>
      </c>
      <c r="K125" s="215">
        <v>42735</v>
      </c>
      <c r="L125" s="909" t="s">
        <v>1317</v>
      </c>
      <c r="M125" s="199" t="s">
        <v>1704</v>
      </c>
      <c r="N125" s="25" t="s">
        <v>2205</v>
      </c>
      <c r="O125" s="25"/>
      <c r="P125" s="25"/>
      <c r="Q125" s="43"/>
    </row>
    <row r="126" spans="2:17" ht="15.75">
      <c r="B126" s="82"/>
      <c r="C126" s="910"/>
      <c r="D126" s="787"/>
      <c r="E126" s="905" t="s">
        <v>2206</v>
      </c>
      <c r="F126" s="905" t="s">
        <v>1272</v>
      </c>
      <c r="G126" s="906" t="s">
        <v>1393</v>
      </c>
      <c r="H126" s="907">
        <v>1298000</v>
      </c>
      <c r="I126" s="899">
        <v>0.02</v>
      </c>
      <c r="J126" s="908">
        <v>916000</v>
      </c>
      <c r="K126" s="215">
        <v>42735</v>
      </c>
      <c r="L126" s="909" t="s">
        <v>1317</v>
      </c>
      <c r="M126" s="199" t="s">
        <v>1704</v>
      </c>
      <c r="N126" s="25" t="s">
        <v>1976</v>
      </c>
      <c r="O126" s="25"/>
      <c r="P126" s="25"/>
      <c r="Q126" s="43"/>
    </row>
    <row r="127" spans="2:17" ht="15.75">
      <c r="B127" s="201"/>
      <c r="C127" s="910"/>
      <c r="D127" s="787"/>
      <c r="E127" s="905" t="s">
        <v>2207</v>
      </c>
      <c r="F127" s="905" t="s">
        <v>1272</v>
      </c>
      <c r="G127" s="906" t="s">
        <v>1393</v>
      </c>
      <c r="H127" s="907">
        <v>916000</v>
      </c>
      <c r="I127" s="899">
        <v>0.02</v>
      </c>
      <c r="J127" s="908">
        <v>916000</v>
      </c>
      <c r="K127" s="215">
        <v>42735</v>
      </c>
      <c r="L127" s="909" t="s">
        <v>1317</v>
      </c>
      <c r="M127" s="199" t="s">
        <v>1704</v>
      </c>
      <c r="N127" s="25" t="s">
        <v>1976</v>
      </c>
      <c r="O127" s="25"/>
      <c r="P127" s="25"/>
      <c r="Q127" s="43"/>
    </row>
    <row r="128" spans="2:17" ht="15.75">
      <c r="B128" s="201"/>
      <c r="C128" s="910"/>
      <c r="D128" s="787"/>
      <c r="E128" s="905" t="s">
        <v>2208</v>
      </c>
      <c r="F128" s="905" t="s">
        <v>1272</v>
      </c>
      <c r="G128" s="906" t="s">
        <v>1273</v>
      </c>
      <c r="H128" s="907">
        <v>913785</v>
      </c>
      <c r="I128" s="899">
        <v>0.02</v>
      </c>
      <c r="J128" s="908">
        <v>-376194</v>
      </c>
      <c r="K128" s="215">
        <v>42825</v>
      </c>
      <c r="L128" s="909" t="s">
        <v>1317</v>
      </c>
      <c r="M128" s="199" t="s">
        <v>1708</v>
      </c>
      <c r="N128" s="25" t="s">
        <v>1709</v>
      </c>
      <c r="O128" s="25"/>
      <c r="P128" s="25"/>
      <c r="Q128" s="43"/>
    </row>
    <row r="129" spans="2:17" ht="15.75">
      <c r="B129" s="202"/>
      <c r="C129" s="911"/>
      <c r="D129" s="912"/>
      <c r="E129" s="912"/>
      <c r="F129" s="913"/>
      <c r="G129" s="914"/>
      <c r="H129" s="914"/>
      <c r="I129" s="914"/>
      <c r="J129" s="914"/>
      <c r="K129" s="914"/>
      <c r="L129" s="203"/>
      <c r="M129" s="35"/>
      <c r="N129" s="35"/>
      <c r="O129" s="35"/>
      <c r="P129" s="35"/>
      <c r="Q129" s="44"/>
    </row>
    <row r="130" spans="2:17" ht="15.75">
      <c r="B130" s="1629"/>
      <c r="C130" s="1634"/>
      <c r="D130" s="1632"/>
      <c r="E130" s="1632"/>
      <c r="F130" s="1635"/>
      <c r="G130" s="1631"/>
      <c r="H130" s="1631"/>
      <c r="I130" s="1631"/>
      <c r="J130" s="1631"/>
      <c r="K130" s="1631"/>
      <c r="L130" s="1629"/>
      <c r="M130" s="1118"/>
      <c r="N130" s="1118"/>
      <c r="O130" s="1118"/>
      <c r="P130" s="1118"/>
    </row>
    <row r="131" spans="2:17">
      <c r="B131" s="1196"/>
      <c r="C131" s="1636"/>
      <c r="D131" s="1196"/>
    </row>
    <row r="132" spans="2:17" ht="15.75">
      <c r="B132" s="2134" t="s">
        <v>2020</v>
      </c>
      <c r="C132" s="154"/>
      <c r="D132" s="225" t="s">
        <v>1793</v>
      </c>
      <c r="E132" s="2306"/>
      <c r="F132" s="1118"/>
      <c r="G132" s="1118"/>
    </row>
    <row r="133" spans="2:17" ht="15.75">
      <c r="B133" s="2135" t="e">
        <f ca="1">_xll.BDP(B134,"Name")</f>
        <v>#NAME?</v>
      </c>
      <c r="C133" s="1642" t="s">
        <v>782</v>
      </c>
      <c r="D133" s="779" t="s">
        <v>783</v>
      </c>
      <c r="E133" s="2306"/>
      <c r="F133" s="1118"/>
      <c r="G133" s="1118"/>
    </row>
    <row r="134" spans="2:17" ht="15.75">
      <c r="B134" s="1641" t="s">
        <v>1321</v>
      </c>
      <c r="C134" s="747" t="str">
        <f>_xll.BDS(B134,C133,"cols=1;rows=1246")</f>
        <v>AAPL US 10/19/18 C2.5 Equity</v>
      </c>
      <c r="D134" s="779" t="e">
        <f ca="1">_xll.BDP($C134,D$133)</f>
        <v>#NAME?</v>
      </c>
      <c r="E134" s="2306"/>
      <c r="F134" s="1118"/>
      <c r="G134" s="1118"/>
    </row>
    <row r="135" spans="2:17" ht="15.75">
      <c r="B135" s="201"/>
      <c r="C135" s="228" t="s">
        <v>2214</v>
      </c>
      <c r="D135" s="780" t="e">
        <f ca="1">_xll.BDP($C135,D$133)</f>
        <v>#NAME?</v>
      </c>
    </row>
    <row r="136" spans="2:17" ht="15.75">
      <c r="B136" s="326" t="s">
        <v>994</v>
      </c>
      <c r="C136" s="228" t="s">
        <v>2215</v>
      </c>
      <c r="D136" s="780" t="e">
        <f ca="1">_xll.BDP($C136,D$133)</f>
        <v>#NAME?</v>
      </c>
    </row>
    <row r="137" spans="2:17" ht="15.75">
      <c r="B137" s="201"/>
      <c r="C137" s="228" t="s">
        <v>2216</v>
      </c>
      <c r="D137" s="780" t="e">
        <f ca="1">_xll.BDP($C137,D$133)</f>
        <v>#NAME?</v>
      </c>
      <c r="F137" s="112"/>
      <c r="G137" s="113"/>
      <c r="H137" s="114"/>
    </row>
    <row r="138" spans="2:17" ht="15.75">
      <c r="B138" s="201"/>
      <c r="C138" s="228" t="s">
        <v>2217</v>
      </c>
      <c r="D138" s="780" t="e">
        <f ca="1">_xll.BDP($C138,D$133)</f>
        <v>#NAME?</v>
      </c>
      <c r="F138" s="2034" t="s">
        <v>1387</v>
      </c>
      <c r="G138" s="2034" t="s">
        <v>1388</v>
      </c>
      <c r="H138" s="43"/>
    </row>
    <row r="139" spans="2:17" ht="15.75">
      <c r="B139" s="82"/>
      <c r="C139" s="228" t="s">
        <v>2218</v>
      </c>
      <c r="D139" s="780" t="e">
        <f ca="1">_xll.BDP($C139,D$133)</f>
        <v>#NAME?</v>
      </c>
      <c r="E139" s="1627"/>
      <c r="F139" s="770" t="s">
        <v>1389</v>
      </c>
      <c r="G139" s="154"/>
      <c r="H139" s="43"/>
    </row>
    <row r="140" spans="2:17" ht="15.75">
      <c r="B140" s="82"/>
      <c r="C140" s="228" t="s">
        <v>2219</v>
      </c>
      <c r="D140" s="780" t="e">
        <f ca="1">_xll.BDP($C140,D$133)</f>
        <v>#NAME?</v>
      </c>
      <c r="F140" s="769" t="e">
        <f>_xll.BDS(F138,G138,"cols=2;rows=11")</f>
        <v>#N/A</v>
      </c>
      <c r="G140" s="25" t="s">
        <v>1370</v>
      </c>
      <c r="H140" s="43"/>
    </row>
    <row r="141" spans="2:17" ht="15.75">
      <c r="B141" s="82"/>
      <c r="C141" s="228" t="s">
        <v>2220</v>
      </c>
      <c r="D141" s="780" t="e">
        <f ca="1">_xll.BDP($C141,D$133)</f>
        <v>#NAME?</v>
      </c>
      <c r="F141" s="82" t="s">
        <v>1371</v>
      </c>
      <c r="G141" s="25" t="s">
        <v>1372</v>
      </c>
      <c r="H141" s="43"/>
    </row>
    <row r="142" spans="2:17" ht="15.75">
      <c r="B142" s="82"/>
      <c r="C142" s="228" t="s">
        <v>2221</v>
      </c>
      <c r="D142" s="780" t="e">
        <f ca="1">_xll.BDP($C142,D$133)</f>
        <v>#NAME?</v>
      </c>
      <c r="F142" s="82" t="s">
        <v>1373</v>
      </c>
      <c r="G142" s="25" t="s">
        <v>1374</v>
      </c>
      <c r="H142" s="43"/>
    </row>
    <row r="143" spans="2:17" ht="15.75">
      <c r="B143" s="82"/>
      <c r="C143" s="228" t="s">
        <v>2222</v>
      </c>
      <c r="D143" s="780" t="e">
        <f ca="1">_xll.BDP($C143,D$133)</f>
        <v>#NAME?</v>
      </c>
      <c r="F143" s="82" t="s">
        <v>1422</v>
      </c>
      <c r="G143" s="25" t="s">
        <v>1423</v>
      </c>
      <c r="H143" s="43"/>
    </row>
    <row r="144" spans="2:17" ht="15.75">
      <c r="B144" s="82"/>
      <c r="C144" s="228" t="s">
        <v>2223</v>
      </c>
      <c r="D144" s="780" t="e">
        <f ca="1">_xll.BDP($C144,D$133)</f>
        <v>#NAME?</v>
      </c>
      <c r="F144" s="82" t="s">
        <v>1375</v>
      </c>
      <c r="G144" s="25" t="s">
        <v>1376</v>
      </c>
      <c r="H144" s="43"/>
    </row>
    <row r="145" spans="2:8" ht="15.75">
      <c r="B145" s="82"/>
      <c r="C145" s="228" t="s">
        <v>2224</v>
      </c>
      <c r="D145" s="780" t="e">
        <f ca="1">_xll.BDP($C145,D$133)</f>
        <v>#NAME?</v>
      </c>
      <c r="F145" s="82" t="s">
        <v>1406</v>
      </c>
      <c r="G145" s="25" t="s">
        <v>1407</v>
      </c>
      <c r="H145" s="43"/>
    </row>
    <row r="146" spans="2:8" ht="15.75">
      <c r="B146" s="82"/>
      <c r="C146" s="228" t="s">
        <v>2225</v>
      </c>
      <c r="D146" s="780" t="e">
        <f ca="1">_xll.BDP($C146,D$133)</f>
        <v>#NAME?</v>
      </c>
      <c r="F146" s="82" t="s">
        <v>1377</v>
      </c>
      <c r="G146" s="25" t="s">
        <v>1378</v>
      </c>
      <c r="H146" s="43"/>
    </row>
    <row r="147" spans="2:8" ht="15.75">
      <c r="B147" s="82"/>
      <c r="C147" s="228" t="s">
        <v>2226</v>
      </c>
      <c r="D147" s="780" t="e">
        <f ca="1">_xll.BDP($C147,D$133)</f>
        <v>#NAME?</v>
      </c>
      <c r="F147" s="82" t="s">
        <v>1379</v>
      </c>
      <c r="G147" s="25" t="s">
        <v>1380</v>
      </c>
      <c r="H147" s="43"/>
    </row>
    <row r="148" spans="2:8" ht="15.75">
      <c r="B148" s="82"/>
      <c r="C148" s="228" t="s">
        <v>2227</v>
      </c>
      <c r="D148" s="780" t="e">
        <f ca="1">_xll.BDP($C148,D$133)</f>
        <v>#NAME?</v>
      </c>
      <c r="F148" s="82" t="s">
        <v>1381</v>
      </c>
      <c r="G148" s="25" t="s">
        <v>1382</v>
      </c>
      <c r="H148" s="43"/>
    </row>
    <row r="149" spans="2:8" ht="15.75">
      <c r="B149" s="82"/>
      <c r="C149" s="228" t="s">
        <v>2228</v>
      </c>
      <c r="D149" s="780" t="e">
        <f ca="1">_xll.BDP($C149,D$133)</f>
        <v>#NAME?</v>
      </c>
      <c r="F149" s="82" t="s">
        <v>1383</v>
      </c>
      <c r="G149" s="25" t="s">
        <v>1384</v>
      </c>
      <c r="H149" s="43"/>
    </row>
    <row r="150" spans="2:8" ht="15.75">
      <c r="B150" s="82"/>
      <c r="C150" s="228" t="s">
        <v>2229</v>
      </c>
      <c r="D150" s="780" t="e">
        <f ca="1">_xll.BDP($C150,D$133)</f>
        <v>#NAME?</v>
      </c>
      <c r="F150" s="82" t="s">
        <v>1385</v>
      </c>
      <c r="G150" s="25" t="s">
        <v>1386</v>
      </c>
      <c r="H150" s="43"/>
    </row>
    <row r="151" spans="2:8" ht="15.75">
      <c r="B151" s="82"/>
      <c r="C151" s="228" t="s">
        <v>2230</v>
      </c>
      <c r="D151" s="780" t="e">
        <f ca="1">_xll.BDP($C151,D$133)</f>
        <v>#NAME?</v>
      </c>
      <c r="F151" s="82"/>
      <c r="G151" s="25"/>
      <c r="H151" s="43"/>
    </row>
    <row r="152" spans="2:8" ht="15.75">
      <c r="B152" s="82"/>
      <c r="C152" s="228" t="s">
        <v>2231</v>
      </c>
      <c r="D152" s="780" t="e">
        <f ca="1">_xll.BDP($C152,D$133)</f>
        <v>#NAME?</v>
      </c>
      <c r="F152" s="82"/>
      <c r="G152" s="25"/>
      <c r="H152" s="43"/>
    </row>
    <row r="153" spans="2:8" ht="15.75">
      <c r="B153" s="82"/>
      <c r="C153" s="228" t="s">
        <v>2232</v>
      </c>
      <c r="D153" s="780" t="e">
        <f ca="1">_xll.BDP($C153,D$133)</f>
        <v>#NAME?</v>
      </c>
      <c r="F153" s="82"/>
      <c r="G153" s="25"/>
      <c r="H153" s="43"/>
    </row>
    <row r="154" spans="2:8" ht="15.75">
      <c r="B154" s="82"/>
      <c r="C154" s="228" t="s">
        <v>2233</v>
      </c>
      <c r="D154" s="780" t="e">
        <f ca="1">_xll.BDP($C154,D$133)</f>
        <v>#NAME?</v>
      </c>
      <c r="F154" s="82"/>
      <c r="G154" s="25"/>
      <c r="H154" s="43"/>
    </row>
    <row r="155" spans="2:8" ht="15.75">
      <c r="B155" s="82"/>
      <c r="C155" s="228" t="s">
        <v>2234</v>
      </c>
      <c r="D155" s="780" t="e">
        <f ca="1">_xll.BDP($C155,D$133)</f>
        <v>#NAME?</v>
      </c>
      <c r="F155" s="82"/>
      <c r="G155" s="25"/>
      <c r="H155" s="43"/>
    </row>
    <row r="156" spans="2:8" ht="15.75">
      <c r="B156" s="82"/>
      <c r="C156" s="228" t="s">
        <v>2235</v>
      </c>
      <c r="D156" s="780" t="e">
        <f ca="1">_xll.BDP($C156,D$133)</f>
        <v>#NAME?</v>
      </c>
      <c r="F156" s="82"/>
      <c r="G156" s="25"/>
      <c r="H156" s="43"/>
    </row>
    <row r="157" spans="2:8" ht="15.75">
      <c r="B157" s="82"/>
      <c r="C157" s="228" t="s">
        <v>2236</v>
      </c>
      <c r="D157" s="780" t="e">
        <f ca="1">_xll.BDP($C157,D$133)</f>
        <v>#NAME?</v>
      </c>
      <c r="F157" s="82"/>
      <c r="G157" s="25"/>
      <c r="H157" s="43"/>
    </row>
    <row r="158" spans="2:8" ht="15.75">
      <c r="B158" s="82"/>
      <c r="C158" s="228" t="s">
        <v>2237</v>
      </c>
      <c r="D158" s="780" t="e">
        <f ca="1">_xll.BDP($C158,D$133)</f>
        <v>#NAME?</v>
      </c>
      <c r="F158" s="82"/>
      <c r="G158" s="25"/>
      <c r="H158" s="43"/>
    </row>
    <row r="159" spans="2:8" ht="15.75">
      <c r="B159" s="82"/>
      <c r="C159" s="228" t="s">
        <v>2238</v>
      </c>
      <c r="D159" s="780" t="e">
        <f ca="1">_xll.BDP($C159,D$133)</f>
        <v>#NAME?</v>
      </c>
      <c r="F159" s="82"/>
      <c r="G159" s="25"/>
      <c r="H159" s="43"/>
    </row>
    <row r="160" spans="2:8" ht="15.75">
      <c r="B160" s="82"/>
      <c r="C160" s="228" t="s">
        <v>2239</v>
      </c>
      <c r="D160" s="780" t="e">
        <f ca="1">_xll.BDP($C160,D$133)</f>
        <v>#NAME?</v>
      </c>
      <c r="F160" s="82"/>
      <c r="G160" s="25"/>
      <c r="H160" s="43"/>
    </row>
    <row r="161" spans="2:8" ht="15.75">
      <c r="B161" s="82"/>
      <c r="C161" s="228" t="s">
        <v>2240</v>
      </c>
      <c r="D161" s="780" t="e">
        <f ca="1">_xll.BDP($C161,D$133)</f>
        <v>#NAME?</v>
      </c>
      <c r="F161" s="82"/>
      <c r="G161" s="25"/>
      <c r="H161" s="43"/>
    </row>
    <row r="162" spans="2:8" ht="15.75">
      <c r="B162" s="82"/>
      <c r="C162" s="228" t="s">
        <v>2241</v>
      </c>
      <c r="D162" s="780" t="e">
        <f ca="1">_xll.BDP($C162,D$133)</f>
        <v>#NAME?</v>
      </c>
      <c r="F162" s="82"/>
      <c r="G162" s="25"/>
      <c r="H162" s="43"/>
    </row>
    <row r="163" spans="2:8" ht="15.75">
      <c r="B163" s="82"/>
      <c r="C163" s="228" t="s">
        <v>2242</v>
      </c>
      <c r="D163" s="780" t="e">
        <f ca="1">_xll.BDP($C163,D$133)</f>
        <v>#NAME?</v>
      </c>
      <c r="F163" s="82"/>
      <c r="G163" s="25"/>
      <c r="H163" s="43"/>
    </row>
    <row r="164" spans="2:8" ht="15.75">
      <c r="B164" s="82"/>
      <c r="C164" s="228" t="s">
        <v>2243</v>
      </c>
      <c r="D164" s="780" t="e">
        <f ca="1">_xll.BDP($C164,D$133)</f>
        <v>#NAME?</v>
      </c>
      <c r="F164" s="789"/>
      <c r="G164" s="35"/>
      <c r="H164" s="44"/>
    </row>
    <row r="165" spans="2:8" ht="15.75">
      <c r="B165" s="82"/>
      <c r="C165" s="228" t="s">
        <v>2244</v>
      </c>
      <c r="D165" s="780" t="e">
        <f ca="1">_xll.BDP($C165,D$133)</f>
        <v>#NAME?</v>
      </c>
    </row>
    <row r="166" spans="2:8" ht="15.75">
      <c r="B166" s="82"/>
      <c r="C166" s="228" t="s">
        <v>2245</v>
      </c>
      <c r="D166" s="780" t="e">
        <f ca="1">_xll.BDP($C166,D$133)</f>
        <v>#NAME?</v>
      </c>
    </row>
    <row r="167" spans="2:8" ht="15.75">
      <c r="B167" s="82"/>
      <c r="C167" s="228" t="s">
        <v>2246</v>
      </c>
      <c r="D167" s="780" t="e">
        <f ca="1">_xll.BDP($C167,D$133)</f>
        <v>#NAME?</v>
      </c>
    </row>
    <row r="168" spans="2:8" ht="15.75">
      <c r="B168" s="82"/>
      <c r="C168" s="228" t="s">
        <v>2247</v>
      </c>
      <c r="D168" s="780" t="e">
        <f ca="1">_xll.BDP($C168,D$133)</f>
        <v>#NAME?</v>
      </c>
      <c r="F168" s="1119"/>
      <c r="G168" s="1119"/>
      <c r="H168" s="1118"/>
    </row>
    <row r="169" spans="2:8" ht="15.75">
      <c r="B169" s="82"/>
      <c r="C169" s="228" t="s">
        <v>2248</v>
      </c>
      <c r="D169" s="780" t="e">
        <f ca="1">_xll.BDP($C169,D$133)</f>
        <v>#NAME?</v>
      </c>
      <c r="F169" s="1118"/>
      <c r="G169" s="1118"/>
      <c r="H169" s="1118"/>
    </row>
    <row r="170" spans="2:8" ht="15.75">
      <c r="B170" s="82"/>
      <c r="C170" s="228" t="s">
        <v>2249</v>
      </c>
      <c r="D170" s="780" t="e">
        <f ca="1">_xll.BDP($C170,D$133)</f>
        <v>#NAME?</v>
      </c>
      <c r="F170" s="1118"/>
      <c r="G170" s="1118"/>
      <c r="H170" s="1118"/>
    </row>
    <row r="171" spans="2:8" ht="15.75">
      <c r="B171" s="82"/>
      <c r="C171" s="228" t="s">
        <v>2250</v>
      </c>
      <c r="D171" s="780" t="e">
        <f ca="1">_xll.BDP($C171,D$133)</f>
        <v>#NAME?</v>
      </c>
      <c r="F171" s="1118"/>
      <c r="G171" s="1118"/>
      <c r="H171" s="1118"/>
    </row>
    <row r="172" spans="2:8" ht="15.75">
      <c r="B172" s="82"/>
      <c r="C172" s="228" t="s">
        <v>2251</v>
      </c>
      <c r="D172" s="780" t="e">
        <f ca="1">_xll.BDP($C172,D$133)</f>
        <v>#NAME?</v>
      </c>
      <c r="F172" s="1118"/>
      <c r="G172" s="1118"/>
      <c r="H172" s="1118"/>
    </row>
    <row r="173" spans="2:8" ht="15.75">
      <c r="B173" s="82"/>
      <c r="C173" s="228" t="s">
        <v>2252</v>
      </c>
      <c r="D173" s="780" t="e">
        <f ca="1">_xll.BDP($C173,D$133)</f>
        <v>#NAME?</v>
      </c>
      <c r="F173" s="1118"/>
      <c r="G173" s="1118"/>
      <c r="H173" s="1118"/>
    </row>
    <row r="174" spans="2:8" ht="15.75">
      <c r="B174" s="82"/>
      <c r="C174" s="228" t="s">
        <v>2253</v>
      </c>
      <c r="D174" s="780" t="e">
        <f ca="1">_xll.BDP($C174,D$133)</f>
        <v>#NAME?</v>
      </c>
      <c r="F174" s="1118"/>
      <c r="G174" s="1118"/>
      <c r="H174" s="1118"/>
    </row>
    <row r="175" spans="2:8" ht="15.75">
      <c r="B175" s="82"/>
      <c r="C175" s="228" t="s">
        <v>2254</v>
      </c>
      <c r="D175" s="780" t="e">
        <f ca="1">_xll.BDP($C175,D$133)</f>
        <v>#NAME?</v>
      </c>
      <c r="F175" s="1118"/>
      <c r="G175" s="1118"/>
      <c r="H175" s="1118"/>
    </row>
    <row r="176" spans="2:8" ht="15.75">
      <c r="B176" s="82"/>
      <c r="C176" s="228" t="s">
        <v>2255</v>
      </c>
      <c r="D176" s="780" t="e">
        <f ca="1">_xll.BDP($C176,D$133)</f>
        <v>#NAME?</v>
      </c>
      <c r="F176" s="1118"/>
      <c r="G176" s="1118"/>
      <c r="H176" s="1118"/>
    </row>
    <row r="177" spans="2:8" ht="15.75">
      <c r="B177" s="82"/>
      <c r="C177" s="228" t="s">
        <v>2256</v>
      </c>
      <c r="D177" s="780" t="e">
        <f ca="1">_xll.BDP($C177,D$133)</f>
        <v>#NAME?</v>
      </c>
      <c r="F177" s="1118"/>
      <c r="G177" s="1118"/>
      <c r="H177" s="1118"/>
    </row>
    <row r="178" spans="2:8" ht="15.75">
      <c r="B178" s="82"/>
      <c r="C178" s="228" t="s">
        <v>2257</v>
      </c>
      <c r="D178" s="780" t="e">
        <f ca="1">_xll.BDP($C178,D$133)</f>
        <v>#NAME?</v>
      </c>
    </row>
    <row r="179" spans="2:8" ht="15.75">
      <c r="B179" s="82"/>
      <c r="C179" s="228" t="s">
        <v>2258</v>
      </c>
      <c r="D179" s="780" t="e">
        <f ca="1">_xll.BDP($C179,D$133)</f>
        <v>#NAME?</v>
      </c>
    </row>
    <row r="180" spans="2:8" ht="15.75">
      <c r="B180" s="82"/>
      <c r="C180" s="228" t="s">
        <v>2259</v>
      </c>
      <c r="D180" s="780" t="e">
        <f ca="1">_xll.BDP($C180,D$133)</f>
        <v>#NAME?</v>
      </c>
    </row>
    <row r="181" spans="2:8" ht="15.75">
      <c r="B181" s="82"/>
      <c r="C181" s="228" t="s">
        <v>2260</v>
      </c>
      <c r="D181" s="780" t="e">
        <f ca="1">_xll.BDP($C181,D$133)</f>
        <v>#NAME?</v>
      </c>
    </row>
    <row r="182" spans="2:8" ht="15.75">
      <c r="B182" s="82"/>
      <c r="C182" s="228" t="s">
        <v>2261</v>
      </c>
      <c r="D182" s="780" t="e">
        <f ca="1">_xll.BDP($C182,D$133)</f>
        <v>#NAME?</v>
      </c>
    </row>
    <row r="183" spans="2:8" ht="15.75">
      <c r="B183" s="82"/>
      <c r="C183" s="228" t="s">
        <v>2262</v>
      </c>
      <c r="D183" s="780" t="e">
        <f ca="1">_xll.BDP($C183,D$133)</f>
        <v>#NAME?</v>
      </c>
    </row>
    <row r="184" spans="2:8" ht="15.75">
      <c r="B184" s="82"/>
      <c r="C184" s="228" t="s">
        <v>2263</v>
      </c>
      <c r="D184" s="780" t="e">
        <f ca="1">_xll.BDP($C184,D$133)</f>
        <v>#NAME?</v>
      </c>
    </row>
    <row r="185" spans="2:8" ht="15.75">
      <c r="B185" s="82"/>
      <c r="C185" s="228" t="s">
        <v>2264</v>
      </c>
      <c r="D185" s="780" t="e">
        <f ca="1">_xll.BDP($C185,D$133)</f>
        <v>#NAME?</v>
      </c>
    </row>
    <row r="186" spans="2:8" ht="15.75">
      <c r="B186" s="82"/>
      <c r="C186" s="228" t="s">
        <v>2265</v>
      </c>
      <c r="D186" s="780" t="e">
        <f ca="1">_xll.BDP($C186,D$133)</f>
        <v>#NAME?</v>
      </c>
    </row>
    <row r="187" spans="2:8" ht="15.75">
      <c r="B187" s="82"/>
      <c r="C187" s="228" t="s">
        <v>2266</v>
      </c>
      <c r="D187" s="780" t="e">
        <f ca="1">_xll.BDP($C187,D$133)</f>
        <v>#NAME?</v>
      </c>
    </row>
    <row r="188" spans="2:8" ht="15.75">
      <c r="B188" s="82"/>
      <c r="C188" s="228" t="s">
        <v>2267</v>
      </c>
      <c r="D188" s="780" t="e">
        <f ca="1">_xll.BDP($C188,D$133)</f>
        <v>#NAME?</v>
      </c>
    </row>
    <row r="189" spans="2:8" ht="15.75">
      <c r="B189" s="82"/>
      <c r="C189" s="228" t="s">
        <v>2268</v>
      </c>
      <c r="D189" s="780" t="e">
        <f ca="1">_xll.BDP($C189,D$133)</f>
        <v>#NAME?</v>
      </c>
    </row>
    <row r="190" spans="2:8" ht="15.75">
      <c r="B190" s="82"/>
      <c r="C190" s="228" t="s">
        <v>2269</v>
      </c>
      <c r="D190" s="780" t="e">
        <f ca="1">_xll.BDP($C190,D$133)</f>
        <v>#NAME?</v>
      </c>
    </row>
    <row r="191" spans="2:8" ht="15.75">
      <c r="B191" s="82"/>
      <c r="C191" s="228" t="s">
        <v>2270</v>
      </c>
      <c r="D191" s="780" t="e">
        <f ca="1">_xll.BDP($C191,D$133)</f>
        <v>#NAME?</v>
      </c>
    </row>
    <row r="192" spans="2:8" ht="15.75">
      <c r="B192" s="82"/>
      <c r="C192" s="228" t="s">
        <v>2271</v>
      </c>
      <c r="D192" s="780" t="e">
        <f ca="1">_xll.BDP($C192,D$133)</f>
        <v>#NAME?</v>
      </c>
    </row>
    <row r="193" spans="2:4" ht="15.75">
      <c r="B193" s="82"/>
      <c r="C193" s="228" t="s">
        <v>2272</v>
      </c>
      <c r="D193" s="780" t="e">
        <f ca="1">_xll.BDP($C193,D$133)</f>
        <v>#NAME?</v>
      </c>
    </row>
    <row r="194" spans="2:4" ht="15.75">
      <c r="B194" s="82"/>
      <c r="C194" s="228" t="s">
        <v>2273</v>
      </c>
      <c r="D194" s="780" t="e">
        <f ca="1">_xll.BDP($C194,D$133)</f>
        <v>#NAME?</v>
      </c>
    </row>
    <row r="195" spans="2:4" ht="15.75">
      <c r="B195" s="82"/>
      <c r="C195" s="228" t="s">
        <v>2274</v>
      </c>
      <c r="D195" s="780" t="e">
        <f ca="1">_xll.BDP($C195,D$133)</f>
        <v>#NAME?</v>
      </c>
    </row>
    <row r="196" spans="2:4" ht="15.75">
      <c r="B196" s="82"/>
      <c r="C196" s="228" t="s">
        <v>2275</v>
      </c>
      <c r="D196" s="780" t="e">
        <f ca="1">_xll.BDP($C196,D$133)</f>
        <v>#NAME?</v>
      </c>
    </row>
    <row r="197" spans="2:4" ht="15.75">
      <c r="B197" s="82"/>
      <c r="C197" s="228" t="s">
        <v>2276</v>
      </c>
      <c r="D197" s="780" t="e">
        <f ca="1">_xll.BDP($C197,D$133)</f>
        <v>#NAME?</v>
      </c>
    </row>
    <row r="198" spans="2:4" ht="15.75">
      <c r="B198" s="82"/>
      <c r="C198" s="228" t="s">
        <v>2277</v>
      </c>
      <c r="D198" s="780" t="e">
        <f ca="1">_xll.BDP($C198,D$133)</f>
        <v>#NAME?</v>
      </c>
    </row>
    <row r="199" spans="2:4" ht="15.75">
      <c r="B199" s="82"/>
      <c r="C199" s="228" t="s">
        <v>2278</v>
      </c>
      <c r="D199" s="780" t="e">
        <f ca="1">_xll.BDP($C199,D$133)</f>
        <v>#NAME?</v>
      </c>
    </row>
    <row r="200" spans="2:4" ht="15.75">
      <c r="B200" s="82"/>
      <c r="C200" s="228" t="s">
        <v>2279</v>
      </c>
      <c r="D200" s="780" t="e">
        <f ca="1">_xll.BDP($C200,D$133)</f>
        <v>#NAME?</v>
      </c>
    </row>
    <row r="201" spans="2:4" ht="15.75">
      <c r="B201" s="82"/>
      <c r="C201" s="228" t="s">
        <v>2280</v>
      </c>
      <c r="D201" s="780" t="e">
        <f ca="1">_xll.BDP($C201,D$133)</f>
        <v>#NAME?</v>
      </c>
    </row>
    <row r="202" spans="2:4" ht="15.75">
      <c r="B202" s="82"/>
      <c r="C202" s="228" t="s">
        <v>2281</v>
      </c>
      <c r="D202" s="780" t="e">
        <f ca="1">_xll.BDP($C202,D$133)</f>
        <v>#NAME?</v>
      </c>
    </row>
    <row r="203" spans="2:4" ht="15.75">
      <c r="B203" s="82"/>
      <c r="C203" s="228" t="s">
        <v>2282</v>
      </c>
      <c r="D203" s="780" t="e">
        <f ca="1">_xll.BDP($C203,D$133)</f>
        <v>#NAME?</v>
      </c>
    </row>
    <row r="204" spans="2:4" ht="15.75">
      <c r="B204" s="82"/>
      <c r="C204" s="228" t="s">
        <v>2283</v>
      </c>
      <c r="D204" s="780" t="e">
        <f ca="1">_xll.BDP($C204,D$133)</f>
        <v>#NAME?</v>
      </c>
    </row>
    <row r="205" spans="2:4" ht="15.75">
      <c r="B205" s="82"/>
      <c r="C205" s="228" t="s">
        <v>2284</v>
      </c>
      <c r="D205" s="780" t="e">
        <f ca="1">_xll.BDP($C205,D$133)</f>
        <v>#NAME?</v>
      </c>
    </row>
    <row r="206" spans="2:4" ht="15.75">
      <c r="B206" s="82"/>
      <c r="C206" s="228" t="s">
        <v>2285</v>
      </c>
      <c r="D206" s="780" t="e">
        <f ca="1">_xll.BDP($C206,D$133)</f>
        <v>#NAME?</v>
      </c>
    </row>
    <row r="207" spans="2:4" ht="15.75">
      <c r="B207" s="82"/>
      <c r="C207" s="228" t="s">
        <v>2286</v>
      </c>
      <c r="D207" s="780" t="e">
        <f ca="1">_xll.BDP($C207,D$133)</f>
        <v>#NAME?</v>
      </c>
    </row>
    <row r="208" spans="2:4" ht="15.75">
      <c r="B208" s="82"/>
      <c r="C208" s="228" t="s">
        <v>2287</v>
      </c>
      <c r="D208" s="780" t="e">
        <f ca="1">_xll.BDP($C208,D$133)</f>
        <v>#NAME?</v>
      </c>
    </row>
    <row r="209" spans="2:4" ht="15.75">
      <c r="B209" s="82"/>
      <c r="C209" s="228" t="s">
        <v>2288</v>
      </c>
      <c r="D209" s="780" t="e">
        <f ca="1">_xll.BDP($C209,D$133)</f>
        <v>#NAME?</v>
      </c>
    </row>
    <row r="210" spans="2:4" ht="15.75">
      <c r="B210" s="82"/>
      <c r="C210" s="228" t="s">
        <v>2289</v>
      </c>
      <c r="D210" s="780" t="e">
        <f ca="1">_xll.BDP($C210,D$133)</f>
        <v>#NAME?</v>
      </c>
    </row>
    <row r="211" spans="2:4" ht="15.75">
      <c r="B211" s="82"/>
      <c r="C211" s="228" t="s">
        <v>2290</v>
      </c>
      <c r="D211" s="780" t="e">
        <f ca="1">_xll.BDP($C211,D$133)</f>
        <v>#NAME?</v>
      </c>
    </row>
    <row r="212" spans="2:4" ht="15.75">
      <c r="B212" s="82"/>
      <c r="C212" s="228" t="s">
        <v>2291</v>
      </c>
      <c r="D212" s="780" t="e">
        <f ca="1">_xll.BDP($C212,D$133)</f>
        <v>#NAME?</v>
      </c>
    </row>
    <row r="213" spans="2:4" ht="15.75">
      <c r="B213" s="82"/>
      <c r="C213" s="228" t="s">
        <v>2292</v>
      </c>
      <c r="D213" s="780" t="e">
        <f ca="1">_xll.BDP($C213,D$133)</f>
        <v>#NAME?</v>
      </c>
    </row>
    <row r="214" spans="2:4" ht="15.75">
      <c r="B214" s="82"/>
      <c r="C214" s="228" t="s">
        <v>2293</v>
      </c>
      <c r="D214" s="780" t="e">
        <f ca="1">_xll.BDP($C214,D$133)</f>
        <v>#NAME?</v>
      </c>
    </row>
    <row r="215" spans="2:4" ht="15.75">
      <c r="B215" s="82"/>
      <c r="C215" s="228" t="s">
        <v>2294</v>
      </c>
      <c r="D215" s="780" t="e">
        <f ca="1">_xll.BDP($C215,D$133)</f>
        <v>#NAME?</v>
      </c>
    </row>
    <row r="216" spans="2:4" ht="15.75">
      <c r="B216" s="82"/>
      <c r="C216" s="228" t="s">
        <v>2295</v>
      </c>
      <c r="D216" s="780" t="e">
        <f ca="1">_xll.BDP($C216,D$133)</f>
        <v>#NAME?</v>
      </c>
    </row>
    <row r="217" spans="2:4" ht="15.75">
      <c r="B217" s="82"/>
      <c r="C217" s="228" t="s">
        <v>2296</v>
      </c>
      <c r="D217" s="780" t="e">
        <f ca="1">_xll.BDP($C217,D$133)</f>
        <v>#NAME?</v>
      </c>
    </row>
    <row r="218" spans="2:4" ht="15.75">
      <c r="B218" s="82"/>
      <c r="C218" s="228" t="s">
        <v>2297</v>
      </c>
      <c r="D218" s="780" t="e">
        <f ca="1">_xll.BDP($C218,D$133)</f>
        <v>#NAME?</v>
      </c>
    </row>
    <row r="219" spans="2:4" ht="15.75">
      <c r="B219" s="82"/>
      <c r="C219" s="228" t="s">
        <v>2298</v>
      </c>
      <c r="D219" s="780" t="e">
        <f ca="1">_xll.BDP($C219,D$133)</f>
        <v>#NAME?</v>
      </c>
    </row>
    <row r="220" spans="2:4" ht="15.75">
      <c r="B220" s="82"/>
      <c r="C220" s="228" t="s">
        <v>2299</v>
      </c>
      <c r="D220" s="780" t="e">
        <f ca="1">_xll.BDP($C220,D$133)</f>
        <v>#NAME?</v>
      </c>
    </row>
    <row r="221" spans="2:4" ht="15.75">
      <c r="B221" s="82"/>
      <c r="C221" s="228" t="s">
        <v>2300</v>
      </c>
      <c r="D221" s="780" t="e">
        <f ca="1">_xll.BDP($C221,D$133)</f>
        <v>#NAME?</v>
      </c>
    </row>
    <row r="222" spans="2:4" ht="15.75">
      <c r="B222" s="82"/>
      <c r="C222" s="228" t="s">
        <v>2301</v>
      </c>
      <c r="D222" s="780" t="e">
        <f ca="1">_xll.BDP($C222,D$133)</f>
        <v>#NAME?</v>
      </c>
    </row>
    <row r="223" spans="2:4" ht="15.75">
      <c r="B223" s="82"/>
      <c r="C223" s="228" t="s">
        <v>2302</v>
      </c>
      <c r="D223" s="780" t="e">
        <f ca="1">_xll.BDP($C223,D$133)</f>
        <v>#NAME?</v>
      </c>
    </row>
    <row r="224" spans="2:4" ht="15.75">
      <c r="B224" s="82"/>
      <c r="C224" s="228" t="s">
        <v>2303</v>
      </c>
      <c r="D224" s="780" t="e">
        <f ca="1">_xll.BDP($C224,D$133)</f>
        <v>#NAME?</v>
      </c>
    </row>
    <row r="225" spans="2:4" ht="15.75">
      <c r="B225" s="82"/>
      <c r="C225" s="228" t="s">
        <v>2304</v>
      </c>
      <c r="D225" s="780" t="e">
        <f ca="1">_xll.BDP($C225,D$133)</f>
        <v>#NAME?</v>
      </c>
    </row>
    <row r="226" spans="2:4" ht="15.75">
      <c r="B226" s="82"/>
      <c r="C226" s="228" t="s">
        <v>2305</v>
      </c>
      <c r="D226" s="780" t="e">
        <f ca="1">_xll.BDP($C226,D$133)</f>
        <v>#NAME?</v>
      </c>
    </row>
    <row r="227" spans="2:4" ht="15.75">
      <c r="B227" s="82"/>
      <c r="C227" s="228" t="s">
        <v>2306</v>
      </c>
      <c r="D227" s="780" t="e">
        <f ca="1">_xll.BDP($C227,D$133)</f>
        <v>#NAME?</v>
      </c>
    </row>
    <row r="228" spans="2:4" ht="15.75">
      <c r="B228" s="82"/>
      <c r="C228" s="228" t="s">
        <v>2307</v>
      </c>
      <c r="D228" s="780" t="e">
        <f ca="1">_xll.BDP($C228,D$133)</f>
        <v>#NAME?</v>
      </c>
    </row>
    <row r="229" spans="2:4" ht="15.75">
      <c r="B229" s="82"/>
      <c r="C229" s="228" t="s">
        <v>2308</v>
      </c>
      <c r="D229" s="780" t="e">
        <f ca="1">_xll.BDP($C229,D$133)</f>
        <v>#NAME?</v>
      </c>
    </row>
    <row r="230" spans="2:4" ht="15.75">
      <c r="B230" s="82"/>
      <c r="C230" s="228" t="s">
        <v>2309</v>
      </c>
      <c r="D230" s="780" t="e">
        <f ca="1">_xll.BDP($C230,D$133)</f>
        <v>#NAME?</v>
      </c>
    </row>
    <row r="231" spans="2:4" ht="15.75">
      <c r="B231" s="82"/>
      <c r="C231" s="228" t="s">
        <v>2310</v>
      </c>
      <c r="D231" s="780" t="e">
        <f ca="1">_xll.BDP($C231,D$133)</f>
        <v>#NAME?</v>
      </c>
    </row>
    <row r="232" spans="2:4" ht="15.75">
      <c r="B232" s="82"/>
      <c r="C232" s="228" t="s">
        <v>2311</v>
      </c>
      <c r="D232" s="780" t="e">
        <f ca="1">_xll.BDP($C232,D$133)</f>
        <v>#NAME?</v>
      </c>
    </row>
    <row r="233" spans="2:4" ht="15.75">
      <c r="B233" s="82"/>
      <c r="C233" s="228" t="s">
        <v>2312</v>
      </c>
      <c r="D233" s="780" t="e">
        <f ca="1">_xll.BDP($C233,D$133)</f>
        <v>#NAME?</v>
      </c>
    </row>
    <row r="234" spans="2:4" ht="15.75">
      <c r="B234" s="82"/>
      <c r="C234" s="228" t="s">
        <v>2313</v>
      </c>
      <c r="D234" s="780" t="e">
        <f ca="1">_xll.BDP($C234,D$133)</f>
        <v>#NAME?</v>
      </c>
    </row>
    <row r="235" spans="2:4" ht="15.75">
      <c r="B235" s="82"/>
      <c r="C235" s="228" t="s">
        <v>2314</v>
      </c>
      <c r="D235" s="780" t="e">
        <f ca="1">_xll.BDP($C235,D$133)</f>
        <v>#NAME?</v>
      </c>
    </row>
    <row r="236" spans="2:4" ht="15.75">
      <c r="B236" s="82"/>
      <c r="C236" s="228" t="s">
        <v>2315</v>
      </c>
      <c r="D236" s="780" t="e">
        <f ca="1">_xll.BDP($C236,D$133)</f>
        <v>#NAME?</v>
      </c>
    </row>
    <row r="237" spans="2:4" ht="15.75">
      <c r="B237" s="82"/>
      <c r="C237" s="228" t="s">
        <v>2316</v>
      </c>
      <c r="D237" s="780" t="e">
        <f ca="1">_xll.BDP($C237,D$133)</f>
        <v>#NAME?</v>
      </c>
    </row>
    <row r="238" spans="2:4" ht="15.75">
      <c r="B238" s="82"/>
      <c r="C238" s="228" t="s">
        <v>2317</v>
      </c>
      <c r="D238" s="780" t="e">
        <f ca="1">_xll.BDP($C238,D$133)</f>
        <v>#NAME?</v>
      </c>
    </row>
    <row r="239" spans="2:4" ht="15.75">
      <c r="B239" s="82"/>
      <c r="C239" s="228" t="s">
        <v>2318</v>
      </c>
      <c r="D239" s="780" t="e">
        <f ca="1">_xll.BDP($C239,D$133)</f>
        <v>#NAME?</v>
      </c>
    </row>
    <row r="240" spans="2:4" ht="15.75">
      <c r="B240" s="82"/>
      <c r="C240" s="228" t="s">
        <v>2319</v>
      </c>
      <c r="D240" s="780" t="e">
        <f ca="1">_xll.BDP($C240,D$133)</f>
        <v>#NAME?</v>
      </c>
    </row>
    <row r="241" spans="2:4" ht="15.75">
      <c r="B241" s="82"/>
      <c r="C241" s="228" t="s">
        <v>2320</v>
      </c>
      <c r="D241" s="780" t="e">
        <f ca="1">_xll.BDP($C241,D$133)</f>
        <v>#NAME?</v>
      </c>
    </row>
    <row r="242" spans="2:4" ht="15.75">
      <c r="B242" s="82"/>
      <c r="C242" s="228" t="s">
        <v>2321</v>
      </c>
      <c r="D242" s="780" t="e">
        <f ca="1">_xll.BDP($C242,D$133)</f>
        <v>#NAME?</v>
      </c>
    </row>
    <row r="243" spans="2:4" ht="15.75">
      <c r="B243" s="82"/>
      <c r="C243" s="228" t="s">
        <v>2322</v>
      </c>
      <c r="D243" s="780" t="e">
        <f ca="1">_xll.BDP($C243,D$133)</f>
        <v>#NAME?</v>
      </c>
    </row>
    <row r="244" spans="2:4" ht="15.75">
      <c r="B244" s="82"/>
      <c r="C244" s="228" t="s">
        <v>2323</v>
      </c>
      <c r="D244" s="780" t="e">
        <f ca="1">_xll.BDP($C244,D$133)</f>
        <v>#NAME?</v>
      </c>
    </row>
    <row r="245" spans="2:4" ht="15.75">
      <c r="B245" s="82"/>
      <c r="C245" s="228" t="s">
        <v>2324</v>
      </c>
      <c r="D245" s="780" t="e">
        <f ca="1">_xll.BDP($C245,D$133)</f>
        <v>#NAME?</v>
      </c>
    </row>
    <row r="246" spans="2:4" ht="15.75">
      <c r="B246" s="82"/>
      <c r="C246" s="228" t="s">
        <v>2325</v>
      </c>
      <c r="D246" s="780" t="e">
        <f ca="1">_xll.BDP($C246,D$133)</f>
        <v>#NAME?</v>
      </c>
    </row>
    <row r="247" spans="2:4" ht="15.75">
      <c r="B247" s="82"/>
      <c r="C247" s="228" t="s">
        <v>2326</v>
      </c>
      <c r="D247" s="780" t="e">
        <f ca="1">_xll.BDP($C247,D$133)</f>
        <v>#NAME?</v>
      </c>
    </row>
    <row r="248" spans="2:4" ht="15.75">
      <c r="B248" s="82"/>
      <c r="C248" s="228" t="s">
        <v>2327</v>
      </c>
      <c r="D248" s="780" t="e">
        <f ca="1">_xll.BDP($C248,D$133)</f>
        <v>#NAME?</v>
      </c>
    </row>
    <row r="249" spans="2:4" ht="15.75">
      <c r="B249" s="82"/>
      <c r="C249" s="228" t="s">
        <v>2328</v>
      </c>
      <c r="D249" s="780" t="e">
        <f ca="1">_xll.BDP($C249,D$133)</f>
        <v>#NAME?</v>
      </c>
    </row>
    <row r="250" spans="2:4" ht="15.75">
      <c r="B250" s="82"/>
      <c r="C250" s="228" t="s">
        <v>2329</v>
      </c>
      <c r="D250" s="780" t="e">
        <f ca="1">_xll.BDP($C250,D$133)</f>
        <v>#NAME?</v>
      </c>
    </row>
    <row r="251" spans="2:4" ht="15.75">
      <c r="B251" s="82"/>
      <c r="C251" s="228" t="s">
        <v>2330</v>
      </c>
      <c r="D251" s="780" t="e">
        <f ca="1">_xll.BDP($C251,D$133)</f>
        <v>#NAME?</v>
      </c>
    </row>
    <row r="252" spans="2:4" ht="15.75">
      <c r="B252" s="82"/>
      <c r="C252" s="228" t="s">
        <v>2331</v>
      </c>
      <c r="D252" s="780" t="e">
        <f ca="1">_xll.BDP($C252,D$133)</f>
        <v>#NAME?</v>
      </c>
    </row>
    <row r="253" spans="2:4" ht="15.75">
      <c r="B253" s="82"/>
      <c r="C253" s="228" t="s">
        <v>2332</v>
      </c>
      <c r="D253" s="780" t="e">
        <f ca="1">_xll.BDP($C253,D$133)</f>
        <v>#NAME?</v>
      </c>
    </row>
    <row r="254" spans="2:4" ht="15.75">
      <c r="B254" s="82"/>
      <c r="C254" s="228" t="s">
        <v>2333</v>
      </c>
      <c r="D254" s="780" t="e">
        <f ca="1">_xll.BDP($C254,D$133)</f>
        <v>#NAME?</v>
      </c>
    </row>
    <row r="255" spans="2:4" ht="15.75">
      <c r="B255" s="82"/>
      <c r="C255" s="228" t="s">
        <v>2334</v>
      </c>
      <c r="D255" s="780" t="e">
        <f ca="1">_xll.BDP($C255,D$133)</f>
        <v>#NAME?</v>
      </c>
    </row>
    <row r="256" spans="2:4" ht="15.75">
      <c r="B256" s="82"/>
      <c r="C256" s="228" t="s">
        <v>2335</v>
      </c>
      <c r="D256" s="780" t="e">
        <f ca="1">_xll.BDP($C256,D$133)</f>
        <v>#NAME?</v>
      </c>
    </row>
    <row r="257" spans="2:4" ht="15.75">
      <c r="B257" s="82"/>
      <c r="C257" s="228" t="s">
        <v>2336</v>
      </c>
      <c r="D257" s="780" t="e">
        <f ca="1">_xll.BDP($C257,D$133)</f>
        <v>#NAME?</v>
      </c>
    </row>
    <row r="258" spans="2:4" ht="15.75">
      <c r="B258" s="82"/>
      <c r="C258" s="228" t="s">
        <v>2337</v>
      </c>
      <c r="D258" s="780" t="e">
        <f ca="1">_xll.BDP($C258,D$133)</f>
        <v>#NAME?</v>
      </c>
    </row>
    <row r="259" spans="2:4" ht="15.75">
      <c r="B259" s="82"/>
      <c r="C259" s="228" t="s">
        <v>2338</v>
      </c>
      <c r="D259" s="780" t="e">
        <f ca="1">_xll.BDP($C259,D$133)</f>
        <v>#NAME?</v>
      </c>
    </row>
    <row r="260" spans="2:4" ht="15.75">
      <c r="B260" s="82"/>
      <c r="C260" s="228" t="s">
        <v>2339</v>
      </c>
      <c r="D260" s="780" t="e">
        <f ca="1">_xll.BDP($C260,D$133)</f>
        <v>#NAME?</v>
      </c>
    </row>
    <row r="261" spans="2:4" ht="15.75">
      <c r="B261" s="82"/>
      <c r="C261" s="228" t="s">
        <v>2340</v>
      </c>
      <c r="D261" s="780" t="e">
        <f ca="1">_xll.BDP($C261,D$133)</f>
        <v>#NAME?</v>
      </c>
    </row>
    <row r="262" spans="2:4" ht="15.75">
      <c r="B262" s="82"/>
      <c r="C262" s="228" t="s">
        <v>2341</v>
      </c>
      <c r="D262" s="780" t="e">
        <f ca="1">_xll.BDP($C262,D$133)</f>
        <v>#NAME?</v>
      </c>
    </row>
    <row r="263" spans="2:4" ht="15.75">
      <c r="B263" s="82"/>
      <c r="C263" s="228" t="s">
        <v>2342</v>
      </c>
      <c r="D263" s="780" t="e">
        <f ca="1">_xll.BDP($C263,D$133)</f>
        <v>#NAME?</v>
      </c>
    </row>
    <row r="264" spans="2:4" ht="15.75">
      <c r="B264" s="82"/>
      <c r="C264" s="228" t="s">
        <v>2343</v>
      </c>
      <c r="D264" s="780" t="e">
        <f ca="1">_xll.BDP($C264,D$133)</f>
        <v>#NAME?</v>
      </c>
    </row>
    <row r="265" spans="2:4" ht="15.75">
      <c r="B265" s="82"/>
      <c r="C265" s="228" t="s">
        <v>2344</v>
      </c>
      <c r="D265" s="780" t="e">
        <f ca="1">_xll.BDP($C265,D$133)</f>
        <v>#NAME?</v>
      </c>
    </row>
    <row r="266" spans="2:4" ht="15.75">
      <c r="B266" s="82"/>
      <c r="C266" s="228" t="s">
        <v>2345</v>
      </c>
      <c r="D266" s="780" t="e">
        <f ca="1">_xll.BDP($C266,D$133)</f>
        <v>#NAME?</v>
      </c>
    </row>
    <row r="267" spans="2:4" ht="15.75">
      <c r="B267" s="82"/>
      <c r="C267" s="228" t="s">
        <v>2346</v>
      </c>
      <c r="D267" s="780" t="e">
        <f ca="1">_xll.BDP($C267,D$133)</f>
        <v>#NAME?</v>
      </c>
    </row>
    <row r="268" spans="2:4" ht="15.75">
      <c r="B268" s="82"/>
      <c r="C268" s="228" t="s">
        <v>2347</v>
      </c>
      <c r="D268" s="780" t="e">
        <f ca="1">_xll.BDP($C268,D$133)</f>
        <v>#NAME?</v>
      </c>
    </row>
    <row r="269" spans="2:4" ht="15.75">
      <c r="B269" s="82"/>
      <c r="C269" s="228" t="s">
        <v>2348</v>
      </c>
      <c r="D269" s="780" t="e">
        <f ca="1">_xll.BDP($C269,D$133)</f>
        <v>#NAME?</v>
      </c>
    </row>
    <row r="270" spans="2:4" ht="15.75">
      <c r="B270" s="82"/>
      <c r="C270" s="228" t="s">
        <v>2349</v>
      </c>
      <c r="D270" s="780" t="e">
        <f ca="1">_xll.BDP($C270,D$133)</f>
        <v>#NAME?</v>
      </c>
    </row>
    <row r="271" spans="2:4" ht="15.75">
      <c r="B271" s="82"/>
      <c r="C271" s="228" t="s">
        <v>2350</v>
      </c>
      <c r="D271" s="780" t="e">
        <f ca="1">_xll.BDP($C271,D$133)</f>
        <v>#NAME?</v>
      </c>
    </row>
    <row r="272" spans="2:4" ht="15.75">
      <c r="B272" s="82"/>
      <c r="C272" s="228" t="s">
        <v>2351</v>
      </c>
      <c r="D272" s="780" t="e">
        <f ca="1">_xll.BDP($C272,D$133)</f>
        <v>#NAME?</v>
      </c>
    </row>
    <row r="273" spans="2:4" ht="15.75">
      <c r="B273" s="82"/>
      <c r="C273" s="228" t="s">
        <v>2352</v>
      </c>
      <c r="D273" s="780" t="e">
        <f ca="1">_xll.BDP($C273,D$133)</f>
        <v>#NAME?</v>
      </c>
    </row>
    <row r="274" spans="2:4" ht="15.75">
      <c r="B274" s="82"/>
      <c r="C274" s="228" t="s">
        <v>2353</v>
      </c>
      <c r="D274" s="780" t="e">
        <f ca="1">_xll.BDP($C274,D$133)</f>
        <v>#NAME?</v>
      </c>
    </row>
    <row r="275" spans="2:4" ht="15.75">
      <c r="B275" s="82"/>
      <c r="C275" s="228" t="s">
        <v>2354</v>
      </c>
      <c r="D275" s="780" t="e">
        <f ca="1">_xll.BDP($C275,D$133)</f>
        <v>#NAME?</v>
      </c>
    </row>
    <row r="276" spans="2:4" ht="15.75">
      <c r="B276" s="82"/>
      <c r="C276" s="228" t="s">
        <v>2355</v>
      </c>
      <c r="D276" s="780" t="e">
        <f ca="1">_xll.BDP($C276,D$133)</f>
        <v>#NAME?</v>
      </c>
    </row>
    <row r="277" spans="2:4" ht="15.75">
      <c r="B277" s="82"/>
      <c r="C277" s="228" t="s">
        <v>2356</v>
      </c>
      <c r="D277" s="780" t="e">
        <f ca="1">_xll.BDP($C277,D$133)</f>
        <v>#NAME?</v>
      </c>
    </row>
    <row r="278" spans="2:4" ht="15.75">
      <c r="B278" s="82"/>
      <c r="C278" s="228" t="s">
        <v>2357</v>
      </c>
      <c r="D278" s="780" t="e">
        <f ca="1">_xll.BDP($C278,D$133)</f>
        <v>#NAME?</v>
      </c>
    </row>
    <row r="279" spans="2:4" ht="15.75">
      <c r="B279" s="82"/>
      <c r="C279" s="228" t="s">
        <v>2358</v>
      </c>
      <c r="D279" s="780" t="e">
        <f ca="1">_xll.BDP($C279,D$133)</f>
        <v>#NAME?</v>
      </c>
    </row>
    <row r="280" spans="2:4" ht="15.75">
      <c r="B280" s="82"/>
      <c r="C280" s="228" t="s">
        <v>2359</v>
      </c>
      <c r="D280" s="780" t="e">
        <f ca="1">_xll.BDP($C280,D$133)</f>
        <v>#NAME?</v>
      </c>
    </row>
    <row r="281" spans="2:4" ht="15.75">
      <c r="B281" s="82"/>
      <c r="C281" s="228" t="s">
        <v>2360</v>
      </c>
      <c r="D281" s="780" t="e">
        <f ca="1">_xll.BDP($C281,D$133)</f>
        <v>#NAME?</v>
      </c>
    </row>
    <row r="282" spans="2:4" ht="15.75">
      <c r="B282" s="82"/>
      <c r="C282" s="228" t="s">
        <v>2361</v>
      </c>
      <c r="D282" s="780" t="e">
        <f ca="1">_xll.BDP($C282,D$133)</f>
        <v>#NAME?</v>
      </c>
    </row>
    <row r="283" spans="2:4" ht="15.75">
      <c r="B283" s="82"/>
      <c r="C283" s="228" t="s">
        <v>2362</v>
      </c>
      <c r="D283" s="780" t="e">
        <f ca="1">_xll.BDP($C283,D$133)</f>
        <v>#NAME?</v>
      </c>
    </row>
    <row r="284" spans="2:4" ht="15.75">
      <c r="B284" s="82"/>
      <c r="C284" s="228" t="s">
        <v>2363</v>
      </c>
      <c r="D284" s="780" t="e">
        <f ca="1">_xll.BDP($C284,D$133)</f>
        <v>#NAME?</v>
      </c>
    </row>
    <row r="285" spans="2:4" ht="15.75">
      <c r="B285" s="82"/>
      <c r="C285" s="228" t="s">
        <v>2364</v>
      </c>
      <c r="D285" s="780" t="e">
        <f ca="1">_xll.BDP($C285,D$133)</f>
        <v>#NAME?</v>
      </c>
    </row>
    <row r="286" spans="2:4" ht="15.75">
      <c r="B286" s="82"/>
      <c r="C286" s="228" t="s">
        <v>2365</v>
      </c>
      <c r="D286" s="780" t="e">
        <f ca="1">_xll.BDP($C286,D$133)</f>
        <v>#NAME?</v>
      </c>
    </row>
    <row r="287" spans="2:4" ht="15.75">
      <c r="B287" s="82"/>
      <c r="C287" s="228" t="s">
        <v>2366</v>
      </c>
      <c r="D287" s="780" t="e">
        <f ca="1">_xll.BDP($C287,D$133)</f>
        <v>#NAME?</v>
      </c>
    </row>
    <row r="288" spans="2:4" ht="15.75">
      <c r="B288" s="82"/>
      <c r="C288" s="228" t="s">
        <v>2367</v>
      </c>
      <c r="D288" s="780" t="e">
        <f ca="1">_xll.BDP($C288,D$133)</f>
        <v>#NAME?</v>
      </c>
    </row>
    <row r="289" spans="2:4" ht="15.75">
      <c r="B289" s="82"/>
      <c r="C289" s="228" t="s">
        <v>2368</v>
      </c>
      <c r="D289" s="780" t="e">
        <f ca="1">_xll.BDP($C289,D$133)</f>
        <v>#NAME?</v>
      </c>
    </row>
    <row r="290" spans="2:4" ht="15.75">
      <c r="B290" s="82"/>
      <c r="C290" s="228" t="s">
        <v>2369</v>
      </c>
      <c r="D290" s="780" t="e">
        <f ca="1">_xll.BDP($C290,D$133)</f>
        <v>#NAME?</v>
      </c>
    </row>
    <row r="291" spans="2:4" ht="15.75">
      <c r="B291" s="82"/>
      <c r="C291" s="228" t="s">
        <v>2370</v>
      </c>
      <c r="D291" s="780" t="e">
        <f ca="1">_xll.BDP($C291,D$133)</f>
        <v>#NAME?</v>
      </c>
    </row>
    <row r="292" spans="2:4" ht="15.75">
      <c r="B292" s="82"/>
      <c r="C292" s="228" t="s">
        <v>2371</v>
      </c>
      <c r="D292" s="780" t="e">
        <f ca="1">_xll.BDP($C292,D$133)</f>
        <v>#NAME?</v>
      </c>
    </row>
    <row r="293" spans="2:4" ht="15.75">
      <c r="B293" s="82"/>
      <c r="C293" s="228" t="s">
        <v>2372</v>
      </c>
      <c r="D293" s="780" t="e">
        <f ca="1">_xll.BDP($C293,D$133)</f>
        <v>#NAME?</v>
      </c>
    </row>
    <row r="294" spans="2:4" ht="15.75">
      <c r="B294" s="82"/>
      <c r="C294" s="228" t="s">
        <v>2373</v>
      </c>
      <c r="D294" s="780" t="e">
        <f ca="1">_xll.BDP($C294,D$133)</f>
        <v>#NAME?</v>
      </c>
    </row>
    <row r="295" spans="2:4" ht="15.75">
      <c r="B295" s="82"/>
      <c r="C295" s="228" t="s">
        <v>2374</v>
      </c>
      <c r="D295" s="780" t="e">
        <f ca="1">_xll.BDP($C295,D$133)</f>
        <v>#NAME?</v>
      </c>
    </row>
    <row r="296" spans="2:4" ht="15.75">
      <c r="B296" s="82"/>
      <c r="C296" s="228" t="s">
        <v>2375</v>
      </c>
      <c r="D296" s="780" t="e">
        <f ca="1">_xll.BDP($C296,D$133)</f>
        <v>#NAME?</v>
      </c>
    </row>
    <row r="297" spans="2:4" ht="15.75">
      <c r="B297" s="82"/>
      <c r="C297" s="228" t="s">
        <v>2376</v>
      </c>
      <c r="D297" s="780" t="e">
        <f ca="1">_xll.BDP($C297,D$133)</f>
        <v>#NAME?</v>
      </c>
    </row>
    <row r="298" spans="2:4" ht="15.75">
      <c r="B298" s="82"/>
      <c r="C298" s="228" t="s">
        <v>2377</v>
      </c>
      <c r="D298" s="780" t="e">
        <f ca="1">_xll.BDP($C298,D$133)</f>
        <v>#NAME?</v>
      </c>
    </row>
    <row r="299" spans="2:4" ht="15.75">
      <c r="B299" s="82"/>
      <c r="C299" s="228" t="s">
        <v>2378</v>
      </c>
      <c r="D299" s="780" t="e">
        <f ca="1">_xll.BDP($C299,D$133)</f>
        <v>#NAME?</v>
      </c>
    </row>
    <row r="300" spans="2:4" ht="15.75">
      <c r="B300" s="82"/>
      <c r="C300" s="228" t="s">
        <v>2379</v>
      </c>
      <c r="D300" s="780" t="e">
        <f ca="1">_xll.BDP($C300,D$133)</f>
        <v>#NAME?</v>
      </c>
    </row>
    <row r="301" spans="2:4" ht="15.75">
      <c r="B301" s="82"/>
      <c r="C301" s="228" t="s">
        <v>2380</v>
      </c>
      <c r="D301" s="780" t="e">
        <f ca="1">_xll.BDP($C301,D$133)</f>
        <v>#NAME?</v>
      </c>
    </row>
    <row r="302" spans="2:4" ht="15.75">
      <c r="B302" s="82"/>
      <c r="C302" s="228" t="s">
        <v>2381</v>
      </c>
      <c r="D302" s="780" t="e">
        <f ca="1">_xll.BDP($C302,D$133)</f>
        <v>#NAME?</v>
      </c>
    </row>
    <row r="303" spans="2:4" ht="15.75">
      <c r="B303" s="82"/>
      <c r="C303" s="228" t="s">
        <v>2382</v>
      </c>
      <c r="D303" s="780" t="e">
        <f ca="1">_xll.BDP($C303,D$133)</f>
        <v>#NAME?</v>
      </c>
    </row>
    <row r="304" spans="2:4" ht="15.75">
      <c r="B304" s="82"/>
      <c r="C304" s="228" t="s">
        <v>2383</v>
      </c>
      <c r="D304" s="780" t="e">
        <f ca="1">_xll.BDP($C304,D$133)</f>
        <v>#NAME?</v>
      </c>
    </row>
    <row r="305" spans="2:4" ht="15.75">
      <c r="B305" s="82"/>
      <c r="C305" s="228" t="s">
        <v>2384</v>
      </c>
      <c r="D305" s="780" t="e">
        <f ca="1">_xll.BDP($C305,D$133)</f>
        <v>#NAME?</v>
      </c>
    </row>
    <row r="306" spans="2:4" ht="15.75">
      <c r="B306" s="82"/>
      <c r="C306" s="228" t="s">
        <v>2385</v>
      </c>
      <c r="D306" s="780" t="e">
        <f ca="1">_xll.BDP($C306,D$133)</f>
        <v>#NAME?</v>
      </c>
    </row>
    <row r="307" spans="2:4" ht="15.75">
      <c r="B307" s="82"/>
      <c r="C307" s="228" t="s">
        <v>2386</v>
      </c>
      <c r="D307" s="780" t="e">
        <f ca="1">_xll.BDP($C307,D$133)</f>
        <v>#NAME?</v>
      </c>
    </row>
    <row r="308" spans="2:4" ht="15.75">
      <c r="B308" s="82"/>
      <c r="C308" s="228" t="s">
        <v>2387</v>
      </c>
      <c r="D308" s="780" t="e">
        <f ca="1">_xll.BDP($C308,D$133)</f>
        <v>#NAME?</v>
      </c>
    </row>
    <row r="309" spans="2:4" ht="15.75">
      <c r="B309" s="82"/>
      <c r="C309" s="228" t="s">
        <v>2388</v>
      </c>
      <c r="D309" s="780" t="e">
        <f ca="1">_xll.BDP($C309,D$133)</f>
        <v>#NAME?</v>
      </c>
    </row>
    <row r="310" spans="2:4" ht="15.75">
      <c r="B310" s="789"/>
      <c r="C310" s="788" t="s">
        <v>2389</v>
      </c>
      <c r="D310" s="794" t="e">
        <f ca="1">_xll.BDP($C310,D$133)</f>
        <v>#NAME?</v>
      </c>
    </row>
    <row r="311" spans="2:4" ht="15.75">
      <c r="C311" s="1637" t="s">
        <v>2390</v>
      </c>
      <c r="D311" s="1638"/>
    </row>
    <row r="312" spans="2:4" ht="15.75">
      <c r="C312" s="1637" t="s">
        <v>2391</v>
      </c>
      <c r="D312" s="1638"/>
    </row>
    <row r="313" spans="2:4" ht="15.75">
      <c r="C313" s="1637" t="s">
        <v>2392</v>
      </c>
      <c r="D313" s="1638"/>
    </row>
    <row r="314" spans="2:4" ht="15.75">
      <c r="C314" s="1637" t="s">
        <v>2393</v>
      </c>
      <c r="D314" s="1638"/>
    </row>
    <row r="315" spans="2:4" ht="15.75">
      <c r="C315" s="1637" t="s">
        <v>2394</v>
      </c>
      <c r="D315" s="1638"/>
    </row>
    <row r="316" spans="2:4" ht="15.75">
      <c r="C316" s="1637" t="s">
        <v>2395</v>
      </c>
      <c r="D316" s="1638"/>
    </row>
    <row r="317" spans="2:4" ht="15.75">
      <c r="C317" s="1637" t="s">
        <v>2396</v>
      </c>
      <c r="D317" s="1638"/>
    </row>
    <row r="318" spans="2:4" ht="15.75">
      <c r="C318" s="1637" t="s">
        <v>2397</v>
      </c>
      <c r="D318" s="1638"/>
    </row>
    <row r="319" spans="2:4" ht="15.75">
      <c r="C319" s="1637" t="s">
        <v>2398</v>
      </c>
      <c r="D319" s="1638"/>
    </row>
    <row r="320" spans="2:4" ht="15.75">
      <c r="C320" s="1637" t="s">
        <v>2399</v>
      </c>
      <c r="D320" s="1638"/>
    </row>
    <row r="321" spans="3:4" ht="15.75">
      <c r="C321" s="1637" t="s">
        <v>2400</v>
      </c>
      <c r="D321" s="1638"/>
    </row>
    <row r="322" spans="3:4" ht="15.75">
      <c r="C322" s="1637" t="s">
        <v>2401</v>
      </c>
      <c r="D322" s="1638"/>
    </row>
    <row r="323" spans="3:4" ht="15.75">
      <c r="C323" s="1637" t="s">
        <v>2402</v>
      </c>
      <c r="D323" s="1638"/>
    </row>
    <row r="324" spans="3:4" ht="15.75">
      <c r="C324" s="1637" t="s">
        <v>2403</v>
      </c>
      <c r="D324" s="1638"/>
    </row>
    <row r="325" spans="3:4" ht="15.75">
      <c r="C325" s="1637" t="s">
        <v>2404</v>
      </c>
      <c r="D325" s="1638"/>
    </row>
    <row r="326" spans="3:4" ht="15.75">
      <c r="C326" s="1637" t="s">
        <v>2405</v>
      </c>
      <c r="D326" s="1638"/>
    </row>
    <row r="327" spans="3:4" ht="15.75">
      <c r="C327" s="1637" t="s">
        <v>2406</v>
      </c>
      <c r="D327" s="1638"/>
    </row>
    <row r="328" spans="3:4" ht="15.75">
      <c r="C328" s="1637" t="s">
        <v>2407</v>
      </c>
      <c r="D328" s="1638"/>
    </row>
    <row r="329" spans="3:4" ht="15.75">
      <c r="C329" s="1637" t="s">
        <v>2408</v>
      </c>
      <c r="D329" s="1638"/>
    </row>
    <row r="330" spans="3:4" ht="15.75">
      <c r="C330" s="1637" t="s">
        <v>2409</v>
      </c>
      <c r="D330" s="1638"/>
    </row>
    <row r="331" spans="3:4" ht="15.75">
      <c r="C331" s="1637" t="s">
        <v>2410</v>
      </c>
      <c r="D331" s="1638"/>
    </row>
    <row r="332" spans="3:4" ht="15.75">
      <c r="C332" s="1637" t="s">
        <v>2411</v>
      </c>
      <c r="D332" s="1638"/>
    </row>
    <row r="333" spans="3:4" ht="15.75">
      <c r="C333" s="1637" t="s">
        <v>2412</v>
      </c>
      <c r="D333" s="1638"/>
    </row>
    <row r="334" spans="3:4" ht="15.75">
      <c r="C334" s="1637" t="s">
        <v>2413</v>
      </c>
      <c r="D334" s="1638"/>
    </row>
    <row r="335" spans="3:4" ht="15.75">
      <c r="C335" s="1637" t="s">
        <v>2414</v>
      </c>
      <c r="D335" s="1638"/>
    </row>
    <row r="336" spans="3:4" ht="15.75">
      <c r="C336" s="1637" t="s">
        <v>2415</v>
      </c>
      <c r="D336" s="1638"/>
    </row>
    <row r="337" spans="3:4" ht="15.75">
      <c r="C337" s="1637" t="s">
        <v>2416</v>
      </c>
      <c r="D337" s="1638"/>
    </row>
    <row r="338" spans="3:4" ht="15.75">
      <c r="C338" s="1637" t="s">
        <v>2417</v>
      </c>
      <c r="D338" s="1638"/>
    </row>
    <row r="339" spans="3:4" ht="15.75">
      <c r="C339" s="1637" t="s">
        <v>2418</v>
      </c>
      <c r="D339" s="1638"/>
    </row>
    <row r="340" spans="3:4" ht="15.75">
      <c r="C340" s="1637" t="s">
        <v>2419</v>
      </c>
      <c r="D340" s="1638"/>
    </row>
    <row r="341" spans="3:4" ht="15.75">
      <c r="C341" s="1637" t="s">
        <v>2420</v>
      </c>
      <c r="D341" s="1638"/>
    </row>
    <row r="342" spans="3:4" ht="15.75">
      <c r="C342" s="1637" t="s">
        <v>2421</v>
      </c>
      <c r="D342" s="1638"/>
    </row>
    <row r="343" spans="3:4" ht="15.75">
      <c r="C343" s="1637" t="s">
        <v>2422</v>
      </c>
      <c r="D343" s="1638"/>
    </row>
    <row r="344" spans="3:4" ht="15.75">
      <c r="C344" s="1637" t="s">
        <v>2423</v>
      </c>
      <c r="D344" s="1638"/>
    </row>
    <row r="345" spans="3:4" ht="15.75">
      <c r="C345" s="1637" t="s">
        <v>2424</v>
      </c>
      <c r="D345" s="1638"/>
    </row>
    <row r="346" spans="3:4" ht="15.75">
      <c r="C346" s="1637" t="s">
        <v>2425</v>
      </c>
      <c r="D346" s="1638"/>
    </row>
    <row r="347" spans="3:4" ht="15.75">
      <c r="C347" s="1637" t="s">
        <v>2426</v>
      </c>
      <c r="D347" s="1638"/>
    </row>
    <row r="348" spans="3:4" ht="15.75">
      <c r="C348" s="1637" t="s">
        <v>2427</v>
      </c>
      <c r="D348" s="1638"/>
    </row>
    <row r="349" spans="3:4" ht="15.75">
      <c r="C349" s="1637" t="s">
        <v>2428</v>
      </c>
      <c r="D349" s="1638"/>
    </row>
    <row r="350" spans="3:4" ht="15.75">
      <c r="C350" s="1637" t="s">
        <v>2429</v>
      </c>
      <c r="D350" s="1638"/>
    </row>
    <row r="351" spans="3:4" ht="15.75">
      <c r="C351" s="1637" t="s">
        <v>2430</v>
      </c>
      <c r="D351" s="1638"/>
    </row>
    <row r="352" spans="3:4" ht="15.75">
      <c r="C352" s="1637" t="s">
        <v>2431</v>
      </c>
      <c r="D352" s="1638"/>
    </row>
    <row r="353" spans="3:4" ht="15.75">
      <c r="C353" s="1637" t="s">
        <v>2432</v>
      </c>
      <c r="D353" s="1638"/>
    </row>
    <row r="354" spans="3:4" ht="15.75">
      <c r="C354" s="1637" t="s">
        <v>2433</v>
      </c>
      <c r="D354" s="1638"/>
    </row>
    <row r="355" spans="3:4" ht="15.75">
      <c r="C355" s="1637" t="s">
        <v>2434</v>
      </c>
      <c r="D355" s="1638"/>
    </row>
    <row r="356" spans="3:4" ht="15.75">
      <c r="C356" s="1637" t="s">
        <v>2435</v>
      </c>
      <c r="D356" s="1638"/>
    </row>
    <row r="357" spans="3:4" ht="15.75">
      <c r="C357" s="1637" t="s">
        <v>2436</v>
      </c>
      <c r="D357" s="1638"/>
    </row>
    <row r="358" spans="3:4" ht="15.75">
      <c r="C358" s="1637" t="s">
        <v>2437</v>
      </c>
      <c r="D358" s="1638"/>
    </row>
    <row r="359" spans="3:4" ht="15.75">
      <c r="C359" s="1637" t="s">
        <v>2438</v>
      </c>
      <c r="D359" s="1638"/>
    </row>
    <row r="360" spans="3:4" ht="15.75">
      <c r="C360" s="1637" t="s">
        <v>2439</v>
      </c>
      <c r="D360" s="1638"/>
    </row>
    <row r="361" spans="3:4" ht="15.75">
      <c r="C361" s="1637" t="s">
        <v>2440</v>
      </c>
      <c r="D361" s="1638"/>
    </row>
    <row r="362" spans="3:4" ht="15.75">
      <c r="C362" s="1637" t="s">
        <v>2441</v>
      </c>
      <c r="D362" s="1638"/>
    </row>
    <row r="363" spans="3:4" ht="15.75">
      <c r="C363" s="1637" t="s">
        <v>2442</v>
      </c>
      <c r="D363" s="1638"/>
    </row>
    <row r="364" spans="3:4" ht="15.75">
      <c r="C364" s="1637" t="s">
        <v>2443</v>
      </c>
      <c r="D364" s="1638"/>
    </row>
    <row r="365" spans="3:4" ht="15.75">
      <c r="C365" s="1637" t="s">
        <v>2444</v>
      </c>
      <c r="D365" s="1638"/>
    </row>
    <row r="366" spans="3:4" ht="15.75">
      <c r="C366" s="1637" t="s">
        <v>2445</v>
      </c>
      <c r="D366" s="1638"/>
    </row>
    <row r="367" spans="3:4" ht="15.75">
      <c r="C367" s="1637" t="s">
        <v>2446</v>
      </c>
      <c r="D367" s="1638"/>
    </row>
    <row r="368" spans="3:4" ht="15.75">
      <c r="C368" s="1637" t="s">
        <v>2447</v>
      </c>
      <c r="D368" s="1638"/>
    </row>
    <row r="369" spans="3:4" ht="15.75">
      <c r="C369" s="1637" t="s">
        <v>2448</v>
      </c>
      <c r="D369" s="1638"/>
    </row>
    <row r="370" spans="3:4" ht="15.75">
      <c r="C370" s="1637" t="s">
        <v>2449</v>
      </c>
      <c r="D370" s="1638"/>
    </row>
    <row r="371" spans="3:4" ht="15.75">
      <c r="C371" s="1637" t="s">
        <v>2450</v>
      </c>
      <c r="D371" s="1638"/>
    </row>
    <row r="372" spans="3:4" ht="15.75">
      <c r="C372" s="1637" t="s">
        <v>2451</v>
      </c>
      <c r="D372" s="1638"/>
    </row>
    <row r="373" spans="3:4" ht="15.75">
      <c r="C373" s="1637" t="s">
        <v>2452</v>
      </c>
      <c r="D373" s="1638"/>
    </row>
    <row r="374" spans="3:4" ht="15.75">
      <c r="C374" s="1637" t="s">
        <v>2453</v>
      </c>
      <c r="D374" s="1638"/>
    </row>
    <row r="375" spans="3:4" ht="15.75">
      <c r="C375" s="1637" t="s">
        <v>2454</v>
      </c>
      <c r="D375" s="1638"/>
    </row>
    <row r="376" spans="3:4" ht="15.75">
      <c r="C376" s="1637" t="s">
        <v>2455</v>
      </c>
      <c r="D376" s="1638"/>
    </row>
    <row r="377" spans="3:4" ht="15.75">
      <c r="C377" s="1637" t="s">
        <v>2456</v>
      </c>
      <c r="D377" s="1638"/>
    </row>
    <row r="378" spans="3:4" ht="15.75">
      <c r="C378" s="1637" t="s">
        <v>2457</v>
      </c>
      <c r="D378" s="1638"/>
    </row>
    <row r="379" spans="3:4" ht="15.75">
      <c r="C379" s="1637" t="s">
        <v>2458</v>
      </c>
      <c r="D379" s="1638"/>
    </row>
    <row r="380" spans="3:4" ht="15.75">
      <c r="C380" s="1637" t="s">
        <v>2459</v>
      </c>
      <c r="D380" s="1638"/>
    </row>
    <row r="381" spans="3:4" ht="15.75">
      <c r="C381" s="1637" t="s">
        <v>2460</v>
      </c>
      <c r="D381" s="1638"/>
    </row>
    <row r="382" spans="3:4" ht="15.75">
      <c r="C382" s="1637" t="s">
        <v>2461</v>
      </c>
      <c r="D382" s="1638"/>
    </row>
    <row r="383" spans="3:4" ht="15.75">
      <c r="C383" s="1637" t="s">
        <v>2462</v>
      </c>
      <c r="D383" s="1638"/>
    </row>
    <row r="384" spans="3:4" ht="15.75">
      <c r="C384" s="1637" t="s">
        <v>2463</v>
      </c>
      <c r="D384" s="1638"/>
    </row>
    <row r="385" spans="3:4" ht="15.75">
      <c r="C385" s="1637" t="s">
        <v>2464</v>
      </c>
      <c r="D385" s="1638"/>
    </row>
    <row r="386" spans="3:4" ht="15.75">
      <c r="C386" s="1637" t="s">
        <v>2465</v>
      </c>
      <c r="D386" s="1638"/>
    </row>
    <row r="387" spans="3:4" ht="15.75">
      <c r="C387" s="1637" t="s">
        <v>2466</v>
      </c>
      <c r="D387" s="1638"/>
    </row>
    <row r="388" spans="3:4" ht="15.75">
      <c r="C388" s="1637" t="s">
        <v>2467</v>
      </c>
      <c r="D388" s="1638"/>
    </row>
    <row r="389" spans="3:4" ht="15.75">
      <c r="C389" s="1637" t="s">
        <v>2468</v>
      </c>
      <c r="D389" s="1638"/>
    </row>
    <row r="390" spans="3:4" ht="15.75">
      <c r="C390" s="1637" t="s">
        <v>2469</v>
      </c>
      <c r="D390" s="1638"/>
    </row>
    <row r="391" spans="3:4" ht="15.75">
      <c r="C391" s="1637" t="s">
        <v>2470</v>
      </c>
      <c r="D391" s="1638"/>
    </row>
    <row r="392" spans="3:4" ht="15.75">
      <c r="C392" s="1637" t="s">
        <v>2471</v>
      </c>
      <c r="D392" s="1638"/>
    </row>
    <row r="393" spans="3:4" ht="15.75">
      <c r="C393" s="1637" t="s">
        <v>2472</v>
      </c>
      <c r="D393" s="1638"/>
    </row>
    <row r="394" spans="3:4" ht="15.75">
      <c r="C394" s="1637" t="s">
        <v>2473</v>
      </c>
      <c r="D394" s="1638"/>
    </row>
    <row r="395" spans="3:4" ht="15.75">
      <c r="C395" s="1637" t="s">
        <v>2474</v>
      </c>
      <c r="D395" s="1638"/>
    </row>
    <row r="396" spans="3:4" ht="15.75">
      <c r="C396" s="1637" t="s">
        <v>2475</v>
      </c>
      <c r="D396" s="1638"/>
    </row>
    <row r="397" spans="3:4" ht="15.75">
      <c r="C397" s="1637" t="s">
        <v>2476</v>
      </c>
      <c r="D397" s="1638"/>
    </row>
    <row r="398" spans="3:4" ht="15.75">
      <c r="C398" s="1637" t="s">
        <v>2477</v>
      </c>
      <c r="D398" s="1638"/>
    </row>
    <row r="399" spans="3:4" ht="15.75">
      <c r="C399" s="1637" t="s">
        <v>2478</v>
      </c>
      <c r="D399" s="1638"/>
    </row>
    <row r="400" spans="3:4" ht="15.75">
      <c r="C400" s="1637" t="s">
        <v>2479</v>
      </c>
      <c r="D400" s="1638"/>
    </row>
    <row r="401" spans="3:4" ht="15.75">
      <c r="C401" s="1637" t="s">
        <v>2480</v>
      </c>
      <c r="D401" s="1638"/>
    </row>
    <row r="402" spans="3:4" ht="15.75">
      <c r="C402" s="1637" t="s">
        <v>2481</v>
      </c>
      <c r="D402" s="1638"/>
    </row>
    <row r="403" spans="3:4" ht="15.75">
      <c r="C403" s="1637" t="s">
        <v>2482</v>
      </c>
      <c r="D403" s="1638"/>
    </row>
    <row r="404" spans="3:4" ht="15.75">
      <c r="C404" s="1637" t="s">
        <v>2483</v>
      </c>
      <c r="D404" s="1638"/>
    </row>
    <row r="405" spans="3:4" ht="15.75">
      <c r="C405" s="1637" t="s">
        <v>2484</v>
      </c>
      <c r="D405" s="1638"/>
    </row>
    <row r="406" spans="3:4" ht="15.75">
      <c r="C406" s="1637" t="s">
        <v>2485</v>
      </c>
      <c r="D406" s="1638"/>
    </row>
    <row r="407" spans="3:4" ht="15.75">
      <c r="C407" s="1637" t="s">
        <v>2486</v>
      </c>
      <c r="D407" s="1638"/>
    </row>
    <row r="408" spans="3:4" ht="15.75">
      <c r="C408" s="1637" t="s">
        <v>2487</v>
      </c>
      <c r="D408" s="1638"/>
    </row>
    <row r="409" spans="3:4" ht="15.75">
      <c r="C409" s="1637" t="s">
        <v>2488</v>
      </c>
      <c r="D409" s="1638"/>
    </row>
    <row r="410" spans="3:4" ht="15.75">
      <c r="C410" s="1637" t="s">
        <v>2489</v>
      </c>
      <c r="D410" s="1638"/>
    </row>
    <row r="411" spans="3:4" ht="15.75">
      <c r="C411" s="1637" t="s">
        <v>2490</v>
      </c>
      <c r="D411" s="1638"/>
    </row>
    <row r="412" spans="3:4" ht="15.75">
      <c r="C412" s="1637" t="s">
        <v>2491</v>
      </c>
      <c r="D412" s="1638"/>
    </row>
    <row r="413" spans="3:4" ht="15.75">
      <c r="C413" s="1637" t="s">
        <v>2492</v>
      </c>
      <c r="D413" s="1638"/>
    </row>
    <row r="414" spans="3:4" ht="15.75">
      <c r="C414" s="1637" t="s">
        <v>2493</v>
      </c>
      <c r="D414" s="1638"/>
    </row>
    <row r="415" spans="3:4" ht="15.75">
      <c r="C415" s="1637" t="s">
        <v>2494</v>
      </c>
      <c r="D415" s="1638"/>
    </row>
    <row r="416" spans="3:4" ht="15.75">
      <c r="C416" s="1637" t="s">
        <v>2495</v>
      </c>
      <c r="D416" s="1638"/>
    </row>
    <row r="417" spans="3:4" ht="15.75">
      <c r="C417" s="1637" t="s">
        <v>2496</v>
      </c>
      <c r="D417" s="1638"/>
    </row>
    <row r="418" spans="3:4" ht="15.75">
      <c r="C418" s="1637" t="s">
        <v>2497</v>
      </c>
      <c r="D418" s="1638"/>
    </row>
    <row r="419" spans="3:4" ht="15.75">
      <c r="C419" s="1637" t="s">
        <v>2498</v>
      </c>
      <c r="D419" s="1638"/>
    </row>
    <row r="420" spans="3:4" ht="15.75">
      <c r="C420" s="1637" t="s">
        <v>2499</v>
      </c>
      <c r="D420" s="1638"/>
    </row>
    <row r="421" spans="3:4" ht="15.75">
      <c r="C421" s="1637" t="s">
        <v>2500</v>
      </c>
      <c r="D421" s="1638"/>
    </row>
    <row r="422" spans="3:4" ht="15.75">
      <c r="C422" s="1637" t="s">
        <v>2501</v>
      </c>
      <c r="D422" s="1638"/>
    </row>
    <row r="423" spans="3:4" ht="15.75">
      <c r="C423" s="1637" t="s">
        <v>2502</v>
      </c>
      <c r="D423" s="1638"/>
    </row>
    <row r="424" spans="3:4" ht="15.75">
      <c r="C424" s="1637" t="s">
        <v>2503</v>
      </c>
      <c r="D424" s="1638"/>
    </row>
    <row r="425" spans="3:4" ht="15.75">
      <c r="C425" s="1637" t="s">
        <v>2504</v>
      </c>
      <c r="D425" s="1638"/>
    </row>
    <row r="426" spans="3:4" ht="15.75">
      <c r="C426" s="1637" t="s">
        <v>2505</v>
      </c>
      <c r="D426" s="1638"/>
    </row>
    <row r="427" spans="3:4" ht="15.75">
      <c r="C427" s="1637" t="s">
        <v>2506</v>
      </c>
      <c r="D427" s="1638"/>
    </row>
    <row r="428" spans="3:4" ht="15.75">
      <c r="C428" s="1637" t="s">
        <v>2507</v>
      </c>
      <c r="D428" s="1638"/>
    </row>
    <row r="429" spans="3:4" ht="15.75">
      <c r="C429" s="1637" t="s">
        <v>2508</v>
      </c>
      <c r="D429" s="1638"/>
    </row>
    <row r="430" spans="3:4" ht="15.75">
      <c r="C430" s="1637" t="s">
        <v>2509</v>
      </c>
      <c r="D430" s="1638"/>
    </row>
    <row r="431" spans="3:4" ht="15.75">
      <c r="C431" s="1637" t="s">
        <v>2510</v>
      </c>
      <c r="D431" s="1638"/>
    </row>
    <row r="432" spans="3:4" ht="15.75">
      <c r="C432" s="1637" t="s">
        <v>2511</v>
      </c>
      <c r="D432" s="1638"/>
    </row>
    <row r="433" spans="3:4" ht="15.75">
      <c r="C433" s="1637" t="s">
        <v>2512</v>
      </c>
      <c r="D433" s="1638"/>
    </row>
    <row r="434" spans="3:4" ht="15.75">
      <c r="C434" s="1637" t="s">
        <v>2513</v>
      </c>
      <c r="D434" s="1638"/>
    </row>
    <row r="435" spans="3:4" ht="15.75">
      <c r="C435" s="1637" t="s">
        <v>2514</v>
      </c>
      <c r="D435" s="1638"/>
    </row>
    <row r="436" spans="3:4" ht="15.75">
      <c r="C436" s="1637" t="s">
        <v>2515</v>
      </c>
      <c r="D436" s="1638"/>
    </row>
    <row r="437" spans="3:4" ht="15.75">
      <c r="C437" s="1637" t="s">
        <v>2516</v>
      </c>
      <c r="D437" s="1638"/>
    </row>
    <row r="438" spans="3:4" ht="15.75">
      <c r="C438" s="1637" t="s">
        <v>2517</v>
      </c>
      <c r="D438" s="1638"/>
    </row>
    <row r="439" spans="3:4" ht="15.75">
      <c r="C439" s="1637" t="s">
        <v>2518</v>
      </c>
      <c r="D439" s="1638"/>
    </row>
    <row r="440" spans="3:4" ht="15.75">
      <c r="C440" s="1637" t="s">
        <v>2519</v>
      </c>
      <c r="D440" s="1638"/>
    </row>
    <row r="441" spans="3:4" ht="15.75">
      <c r="C441" s="1637" t="s">
        <v>2520</v>
      </c>
      <c r="D441" s="1638"/>
    </row>
    <row r="442" spans="3:4" ht="15.75">
      <c r="C442" s="1637" t="s">
        <v>2521</v>
      </c>
      <c r="D442" s="1638"/>
    </row>
    <row r="443" spans="3:4" ht="15.75">
      <c r="C443" s="1637" t="s">
        <v>2522</v>
      </c>
      <c r="D443" s="1638"/>
    </row>
    <row r="444" spans="3:4" ht="15.75">
      <c r="C444" s="1637" t="s">
        <v>2523</v>
      </c>
      <c r="D444" s="1638"/>
    </row>
    <row r="445" spans="3:4" ht="15.75">
      <c r="C445" s="1637" t="s">
        <v>2524</v>
      </c>
      <c r="D445" s="1638"/>
    </row>
    <row r="446" spans="3:4" ht="15.75">
      <c r="C446" s="1637" t="s">
        <v>2525</v>
      </c>
      <c r="D446" s="1638"/>
    </row>
    <row r="447" spans="3:4" ht="15.75">
      <c r="C447" s="1637" t="s">
        <v>2526</v>
      </c>
      <c r="D447" s="1638"/>
    </row>
    <row r="448" spans="3:4" ht="15.75">
      <c r="C448" s="1637" t="s">
        <v>2527</v>
      </c>
      <c r="D448" s="1638"/>
    </row>
    <row r="449" spans="3:4" ht="15.75">
      <c r="C449" s="1637" t="s">
        <v>2528</v>
      </c>
      <c r="D449" s="1638"/>
    </row>
    <row r="450" spans="3:4" ht="15.75">
      <c r="C450" s="1637" t="s">
        <v>2529</v>
      </c>
      <c r="D450" s="1638"/>
    </row>
    <row r="451" spans="3:4" ht="15.75">
      <c r="C451" s="1637" t="s">
        <v>2530</v>
      </c>
      <c r="D451" s="1638"/>
    </row>
    <row r="452" spans="3:4" ht="15.75">
      <c r="C452" s="1637" t="s">
        <v>2531</v>
      </c>
      <c r="D452" s="1638"/>
    </row>
    <row r="453" spans="3:4" ht="15.75">
      <c r="C453" s="1637" t="s">
        <v>2532</v>
      </c>
      <c r="D453" s="1638"/>
    </row>
    <row r="454" spans="3:4" ht="15.75">
      <c r="C454" s="1637" t="s">
        <v>2533</v>
      </c>
      <c r="D454" s="1638"/>
    </row>
    <row r="455" spans="3:4" ht="15.75">
      <c r="C455" s="1637" t="s">
        <v>2534</v>
      </c>
      <c r="D455" s="1638"/>
    </row>
    <row r="456" spans="3:4" ht="15.75">
      <c r="C456" s="1637" t="s">
        <v>2535</v>
      </c>
      <c r="D456" s="1638"/>
    </row>
    <row r="457" spans="3:4" ht="15.75">
      <c r="C457" s="1637" t="s">
        <v>2536</v>
      </c>
      <c r="D457" s="1638"/>
    </row>
    <row r="458" spans="3:4" ht="15.75">
      <c r="C458" s="1637" t="s">
        <v>2537</v>
      </c>
      <c r="D458" s="1638"/>
    </row>
    <row r="459" spans="3:4" ht="15.75">
      <c r="C459" s="1637" t="s">
        <v>2538</v>
      </c>
      <c r="D459" s="1638"/>
    </row>
    <row r="460" spans="3:4" ht="15.75">
      <c r="C460" s="1637" t="s">
        <v>2539</v>
      </c>
      <c r="D460" s="1638"/>
    </row>
    <row r="461" spans="3:4" ht="15.75">
      <c r="C461" s="1637" t="s">
        <v>2540</v>
      </c>
      <c r="D461" s="1638"/>
    </row>
    <row r="462" spans="3:4" ht="15.75">
      <c r="C462" s="1637" t="s">
        <v>2541</v>
      </c>
      <c r="D462" s="1638"/>
    </row>
    <row r="463" spans="3:4" ht="15.75">
      <c r="C463" s="1637" t="s">
        <v>2542</v>
      </c>
      <c r="D463" s="1638"/>
    </row>
    <row r="464" spans="3:4" ht="15.75">
      <c r="C464" s="1637" t="s">
        <v>2543</v>
      </c>
      <c r="D464" s="1638"/>
    </row>
    <row r="465" spans="3:4" ht="15.75">
      <c r="C465" s="1637" t="s">
        <v>2544</v>
      </c>
      <c r="D465" s="1638"/>
    </row>
    <row r="466" spans="3:4" ht="15.75">
      <c r="C466" s="1637" t="s">
        <v>2545</v>
      </c>
      <c r="D466" s="1638"/>
    </row>
    <row r="467" spans="3:4" ht="15.75">
      <c r="C467" s="1637" t="s">
        <v>2546</v>
      </c>
      <c r="D467" s="1638"/>
    </row>
    <row r="468" spans="3:4" ht="15.75">
      <c r="C468" s="1637" t="s">
        <v>2547</v>
      </c>
      <c r="D468" s="1638"/>
    </row>
    <row r="469" spans="3:4" ht="15.75">
      <c r="C469" s="1637" t="s">
        <v>2548</v>
      </c>
      <c r="D469" s="1638"/>
    </row>
    <row r="470" spans="3:4" ht="15.75">
      <c r="C470" s="1637" t="s">
        <v>2549</v>
      </c>
      <c r="D470" s="1638"/>
    </row>
    <row r="471" spans="3:4" ht="15.75">
      <c r="C471" s="1637" t="s">
        <v>2550</v>
      </c>
      <c r="D471" s="1638"/>
    </row>
    <row r="472" spans="3:4" ht="15.75">
      <c r="C472" s="1637" t="s">
        <v>2551</v>
      </c>
      <c r="D472" s="1638"/>
    </row>
    <row r="473" spans="3:4" ht="15.75">
      <c r="C473" s="1637" t="s">
        <v>2552</v>
      </c>
      <c r="D473" s="1638"/>
    </row>
    <row r="474" spans="3:4" ht="15.75">
      <c r="C474" s="1637" t="s">
        <v>2553</v>
      </c>
      <c r="D474" s="1638"/>
    </row>
    <row r="475" spans="3:4" ht="15.75">
      <c r="C475" s="1637" t="s">
        <v>2554</v>
      </c>
      <c r="D475" s="1638"/>
    </row>
    <row r="476" spans="3:4" ht="15.75">
      <c r="C476" s="1637" t="s">
        <v>2555</v>
      </c>
      <c r="D476" s="1638"/>
    </row>
    <row r="477" spans="3:4" ht="15.75">
      <c r="C477" s="1637" t="s">
        <v>2556</v>
      </c>
      <c r="D477" s="1638"/>
    </row>
    <row r="478" spans="3:4" ht="15.75">
      <c r="C478" s="1637" t="s">
        <v>2557</v>
      </c>
      <c r="D478" s="1638"/>
    </row>
    <row r="479" spans="3:4" ht="15.75">
      <c r="C479" s="1637" t="s">
        <v>2558</v>
      </c>
      <c r="D479" s="1638"/>
    </row>
    <row r="480" spans="3:4" ht="15.75">
      <c r="C480" s="1637" t="s">
        <v>2559</v>
      </c>
      <c r="D480" s="1638"/>
    </row>
    <row r="481" spans="3:4" ht="15.75">
      <c r="C481" s="1637" t="s">
        <v>2560</v>
      </c>
      <c r="D481" s="1638"/>
    </row>
    <row r="482" spans="3:4" ht="15.75">
      <c r="C482" s="1637" t="s">
        <v>2561</v>
      </c>
      <c r="D482" s="1638"/>
    </row>
    <row r="483" spans="3:4" ht="15.75">
      <c r="C483" s="1637" t="s">
        <v>2562</v>
      </c>
      <c r="D483" s="1638"/>
    </row>
    <row r="484" spans="3:4" ht="15.75">
      <c r="C484" s="1637" t="s">
        <v>2563</v>
      </c>
      <c r="D484" s="1638"/>
    </row>
    <row r="485" spans="3:4" ht="15.75">
      <c r="C485" s="1637" t="s">
        <v>2564</v>
      </c>
      <c r="D485" s="1638"/>
    </row>
    <row r="486" spans="3:4" ht="15.75">
      <c r="C486" s="1637" t="s">
        <v>2565</v>
      </c>
      <c r="D486" s="1638"/>
    </row>
    <row r="487" spans="3:4" ht="15.75">
      <c r="C487" s="1637" t="s">
        <v>2566</v>
      </c>
      <c r="D487" s="1638"/>
    </row>
    <row r="488" spans="3:4" ht="15.75">
      <c r="C488" s="1637" t="s">
        <v>2567</v>
      </c>
      <c r="D488" s="1638"/>
    </row>
    <row r="489" spans="3:4" ht="15.75">
      <c r="C489" s="1637" t="s">
        <v>2568</v>
      </c>
      <c r="D489" s="1638"/>
    </row>
    <row r="490" spans="3:4" ht="15.75">
      <c r="C490" s="1637" t="s">
        <v>2569</v>
      </c>
      <c r="D490" s="1638"/>
    </row>
    <row r="491" spans="3:4" ht="15.75">
      <c r="C491" s="1637" t="s">
        <v>2570</v>
      </c>
      <c r="D491" s="1638"/>
    </row>
    <row r="492" spans="3:4" ht="15.75">
      <c r="C492" s="1637" t="s">
        <v>2571</v>
      </c>
      <c r="D492" s="1638"/>
    </row>
    <row r="493" spans="3:4" ht="15.75">
      <c r="C493" s="1637" t="s">
        <v>2572</v>
      </c>
      <c r="D493" s="1638"/>
    </row>
    <row r="494" spans="3:4" ht="15.75">
      <c r="C494" s="1637" t="s">
        <v>2573</v>
      </c>
      <c r="D494" s="1638"/>
    </row>
    <row r="495" spans="3:4" ht="15.75">
      <c r="C495" s="1637" t="s">
        <v>2574</v>
      </c>
      <c r="D495" s="1638"/>
    </row>
    <row r="496" spans="3:4" ht="15.75">
      <c r="C496" s="1637" t="s">
        <v>2575</v>
      </c>
      <c r="D496" s="1638"/>
    </row>
    <row r="497" spans="3:4" ht="15.75">
      <c r="C497" s="1637" t="s">
        <v>2576</v>
      </c>
      <c r="D497" s="1638"/>
    </row>
    <row r="498" spans="3:4" ht="15.75">
      <c r="C498" s="1637" t="s">
        <v>2577</v>
      </c>
      <c r="D498" s="1638"/>
    </row>
    <row r="499" spans="3:4" ht="15.75">
      <c r="C499" s="1637" t="s">
        <v>2578</v>
      </c>
      <c r="D499" s="1638"/>
    </row>
    <row r="500" spans="3:4" ht="15.75">
      <c r="C500" s="1637" t="s">
        <v>2579</v>
      </c>
      <c r="D500" s="1638"/>
    </row>
    <row r="501" spans="3:4" ht="15.75">
      <c r="C501" s="1637" t="s">
        <v>2580</v>
      </c>
      <c r="D501" s="1638"/>
    </row>
    <row r="502" spans="3:4" ht="15.75">
      <c r="C502" s="1637" t="s">
        <v>2581</v>
      </c>
      <c r="D502" s="1638"/>
    </row>
    <row r="503" spans="3:4" ht="15.75">
      <c r="C503" s="1637" t="s">
        <v>2582</v>
      </c>
      <c r="D503" s="1638"/>
    </row>
    <row r="504" spans="3:4" ht="15.75">
      <c r="C504" s="1637" t="s">
        <v>2583</v>
      </c>
      <c r="D504" s="1638"/>
    </row>
    <row r="505" spans="3:4" ht="15.75">
      <c r="C505" s="1637" t="s">
        <v>2584</v>
      </c>
      <c r="D505" s="1638"/>
    </row>
    <row r="506" spans="3:4" ht="15.75">
      <c r="C506" s="1637" t="s">
        <v>2585</v>
      </c>
      <c r="D506" s="1638"/>
    </row>
    <row r="507" spans="3:4" ht="15.75">
      <c r="C507" s="1637" t="s">
        <v>2586</v>
      </c>
      <c r="D507" s="1638"/>
    </row>
    <row r="508" spans="3:4" ht="15.75">
      <c r="C508" s="1637" t="s">
        <v>2587</v>
      </c>
      <c r="D508" s="1638"/>
    </row>
    <row r="509" spans="3:4" ht="15.75">
      <c r="C509" s="1637" t="s">
        <v>2588</v>
      </c>
      <c r="D509" s="1638"/>
    </row>
    <row r="510" spans="3:4" ht="15.75">
      <c r="C510" s="1637" t="s">
        <v>2589</v>
      </c>
      <c r="D510" s="1638"/>
    </row>
    <row r="511" spans="3:4" ht="15.75">
      <c r="C511" s="1637" t="s">
        <v>2590</v>
      </c>
      <c r="D511" s="1638"/>
    </row>
    <row r="512" spans="3:4" ht="15.75">
      <c r="C512" s="1637" t="s">
        <v>2591</v>
      </c>
      <c r="D512" s="1638"/>
    </row>
    <row r="513" spans="3:4" ht="15.75">
      <c r="C513" s="1637" t="s">
        <v>2592</v>
      </c>
      <c r="D513" s="1638"/>
    </row>
    <row r="514" spans="3:4" ht="15.75">
      <c r="C514" s="1637" t="s">
        <v>2593</v>
      </c>
      <c r="D514" s="1638"/>
    </row>
    <row r="515" spans="3:4" ht="15.75">
      <c r="C515" s="1637" t="s">
        <v>2594</v>
      </c>
      <c r="D515" s="1638"/>
    </row>
    <row r="516" spans="3:4" ht="15.75">
      <c r="C516" s="1637" t="s">
        <v>2595</v>
      </c>
      <c r="D516" s="1638"/>
    </row>
    <row r="517" spans="3:4" ht="15.75">
      <c r="C517" s="1637" t="s">
        <v>2596</v>
      </c>
      <c r="D517" s="1638"/>
    </row>
    <row r="518" spans="3:4" ht="15.75">
      <c r="C518" s="1637" t="s">
        <v>2597</v>
      </c>
      <c r="D518" s="1638"/>
    </row>
    <row r="519" spans="3:4" ht="15.75">
      <c r="C519" s="1637" t="s">
        <v>2598</v>
      </c>
      <c r="D519" s="1638"/>
    </row>
    <row r="520" spans="3:4" ht="15.75">
      <c r="C520" s="1637" t="s">
        <v>2599</v>
      </c>
      <c r="D520" s="1638"/>
    </row>
    <row r="521" spans="3:4" ht="15.75">
      <c r="C521" s="1637" t="s">
        <v>2600</v>
      </c>
      <c r="D521" s="1638"/>
    </row>
    <row r="522" spans="3:4" ht="15.75">
      <c r="C522" s="1637" t="s">
        <v>2601</v>
      </c>
      <c r="D522" s="1638"/>
    </row>
    <row r="523" spans="3:4" ht="15.75">
      <c r="C523" s="1637" t="s">
        <v>2602</v>
      </c>
      <c r="D523" s="1638"/>
    </row>
    <row r="524" spans="3:4" ht="15.75">
      <c r="C524" s="1637" t="s">
        <v>2603</v>
      </c>
      <c r="D524" s="1638"/>
    </row>
    <row r="525" spans="3:4" ht="15.75">
      <c r="C525" s="1637" t="s">
        <v>2604</v>
      </c>
      <c r="D525" s="1638"/>
    </row>
    <row r="526" spans="3:4" ht="15.75">
      <c r="C526" s="1637" t="s">
        <v>2605</v>
      </c>
      <c r="D526" s="1638"/>
    </row>
    <row r="527" spans="3:4" ht="15.75">
      <c r="C527" s="1637" t="s">
        <v>2606</v>
      </c>
      <c r="D527" s="1638"/>
    </row>
    <row r="528" spans="3:4" ht="15.75">
      <c r="C528" s="1637" t="s">
        <v>2607</v>
      </c>
      <c r="D528" s="1638"/>
    </row>
    <row r="529" spans="3:4" ht="15.75">
      <c r="C529" s="1637" t="s">
        <v>2608</v>
      </c>
      <c r="D529" s="1638"/>
    </row>
    <row r="530" spans="3:4" ht="15.75">
      <c r="C530" s="1637" t="s">
        <v>2609</v>
      </c>
      <c r="D530" s="1638"/>
    </row>
    <row r="531" spans="3:4" ht="15.75">
      <c r="C531" s="1637" t="s">
        <v>2610</v>
      </c>
      <c r="D531" s="1638"/>
    </row>
    <row r="532" spans="3:4">
      <c r="C532" s="1637" t="s">
        <v>2611</v>
      </c>
    </row>
    <row r="533" spans="3:4">
      <c r="C533" s="1637" t="s">
        <v>2612</v>
      </c>
    </row>
    <row r="534" spans="3:4">
      <c r="C534" s="1637" t="s">
        <v>2613</v>
      </c>
    </row>
    <row r="535" spans="3:4">
      <c r="C535" s="1637" t="s">
        <v>2614</v>
      </c>
    </row>
    <row r="536" spans="3:4">
      <c r="C536" s="1637" t="s">
        <v>2615</v>
      </c>
    </row>
    <row r="537" spans="3:4">
      <c r="C537" s="1637" t="s">
        <v>2616</v>
      </c>
    </row>
    <row r="538" spans="3:4">
      <c r="C538" s="1637" t="s">
        <v>2617</v>
      </c>
    </row>
    <row r="539" spans="3:4">
      <c r="C539" s="1637" t="s">
        <v>2618</v>
      </c>
    </row>
    <row r="540" spans="3:4">
      <c r="C540" s="1637" t="s">
        <v>2619</v>
      </c>
    </row>
    <row r="541" spans="3:4">
      <c r="C541" s="1637" t="s">
        <v>2620</v>
      </c>
    </row>
    <row r="542" spans="3:4">
      <c r="C542" s="1637" t="s">
        <v>2621</v>
      </c>
    </row>
    <row r="543" spans="3:4">
      <c r="C543" s="1637" t="s">
        <v>2622</v>
      </c>
    </row>
    <row r="544" spans="3:4">
      <c r="C544" s="1637" t="s">
        <v>2623</v>
      </c>
    </row>
    <row r="545" spans="3:3">
      <c r="C545" s="1637" t="s">
        <v>2624</v>
      </c>
    </row>
    <row r="546" spans="3:3">
      <c r="C546" s="1637" t="s">
        <v>2625</v>
      </c>
    </row>
    <row r="547" spans="3:3">
      <c r="C547" s="1637" t="s">
        <v>2626</v>
      </c>
    </row>
    <row r="548" spans="3:3">
      <c r="C548" s="1637" t="s">
        <v>2627</v>
      </c>
    </row>
    <row r="549" spans="3:3">
      <c r="C549" s="1637" t="s">
        <v>2628</v>
      </c>
    </row>
    <row r="550" spans="3:3">
      <c r="C550" s="1637" t="s">
        <v>2629</v>
      </c>
    </row>
    <row r="551" spans="3:3">
      <c r="C551" s="1637" t="s">
        <v>2630</v>
      </c>
    </row>
    <row r="552" spans="3:3">
      <c r="C552" s="1637" t="s">
        <v>2631</v>
      </c>
    </row>
    <row r="553" spans="3:3">
      <c r="C553" s="1637" t="s">
        <v>2632</v>
      </c>
    </row>
    <row r="554" spans="3:3">
      <c r="C554" s="1637" t="s">
        <v>2633</v>
      </c>
    </row>
    <row r="555" spans="3:3">
      <c r="C555" s="1637" t="s">
        <v>2634</v>
      </c>
    </row>
    <row r="556" spans="3:3">
      <c r="C556" s="1637" t="s">
        <v>2635</v>
      </c>
    </row>
    <row r="557" spans="3:3">
      <c r="C557" s="1637" t="s">
        <v>2636</v>
      </c>
    </row>
    <row r="558" spans="3:3">
      <c r="C558" s="1637" t="s">
        <v>2637</v>
      </c>
    </row>
    <row r="559" spans="3:3">
      <c r="C559" s="1637" t="s">
        <v>2638</v>
      </c>
    </row>
    <row r="560" spans="3:3">
      <c r="C560" s="1637" t="s">
        <v>2639</v>
      </c>
    </row>
    <row r="561" spans="3:3">
      <c r="C561" s="1637" t="s">
        <v>2640</v>
      </c>
    </row>
    <row r="562" spans="3:3">
      <c r="C562" s="1637" t="s">
        <v>2641</v>
      </c>
    </row>
    <row r="563" spans="3:3">
      <c r="C563" s="1637" t="s">
        <v>2642</v>
      </c>
    </row>
    <row r="564" spans="3:3">
      <c r="C564" s="1637" t="s">
        <v>2643</v>
      </c>
    </row>
    <row r="565" spans="3:3">
      <c r="C565" s="1637" t="s">
        <v>2644</v>
      </c>
    </row>
    <row r="566" spans="3:3">
      <c r="C566" s="1637" t="s">
        <v>2645</v>
      </c>
    </row>
    <row r="567" spans="3:3">
      <c r="C567" s="1637" t="s">
        <v>2646</v>
      </c>
    </row>
    <row r="568" spans="3:3">
      <c r="C568" s="1637" t="s">
        <v>2647</v>
      </c>
    </row>
    <row r="569" spans="3:3">
      <c r="C569" s="1637" t="s">
        <v>2648</v>
      </c>
    </row>
    <row r="570" spans="3:3">
      <c r="C570" s="1637" t="s">
        <v>2649</v>
      </c>
    </row>
    <row r="571" spans="3:3">
      <c r="C571" s="1637" t="s">
        <v>2650</v>
      </c>
    </row>
    <row r="572" spans="3:3">
      <c r="C572" s="1637" t="s">
        <v>2651</v>
      </c>
    </row>
    <row r="573" spans="3:3">
      <c r="C573" s="1637" t="s">
        <v>2652</v>
      </c>
    </row>
    <row r="574" spans="3:3">
      <c r="C574" s="1637" t="s">
        <v>2653</v>
      </c>
    </row>
    <row r="575" spans="3:3">
      <c r="C575" s="1637" t="s">
        <v>2654</v>
      </c>
    </row>
    <row r="576" spans="3:3">
      <c r="C576" s="1637" t="s">
        <v>2655</v>
      </c>
    </row>
    <row r="577" spans="3:3">
      <c r="C577" s="1637" t="s">
        <v>2656</v>
      </c>
    </row>
    <row r="578" spans="3:3">
      <c r="C578" s="1637" t="s">
        <v>2657</v>
      </c>
    </row>
    <row r="579" spans="3:3">
      <c r="C579" s="1637" t="s">
        <v>2658</v>
      </c>
    </row>
    <row r="580" spans="3:3">
      <c r="C580" s="1637" t="s">
        <v>2659</v>
      </c>
    </row>
    <row r="581" spans="3:3">
      <c r="C581" s="1637" t="s">
        <v>2660</v>
      </c>
    </row>
    <row r="582" spans="3:3">
      <c r="C582" s="1637" t="s">
        <v>2661</v>
      </c>
    </row>
    <row r="583" spans="3:3">
      <c r="C583" s="1637" t="s">
        <v>2662</v>
      </c>
    </row>
    <row r="584" spans="3:3">
      <c r="C584" s="1637" t="s">
        <v>2663</v>
      </c>
    </row>
    <row r="585" spans="3:3">
      <c r="C585" s="1637" t="s">
        <v>2664</v>
      </c>
    </row>
    <row r="586" spans="3:3">
      <c r="C586" s="1637" t="s">
        <v>2665</v>
      </c>
    </row>
    <row r="587" spans="3:3">
      <c r="C587" s="1637" t="s">
        <v>2666</v>
      </c>
    </row>
    <row r="588" spans="3:3">
      <c r="C588" s="1637" t="s">
        <v>2667</v>
      </c>
    </row>
    <row r="589" spans="3:3">
      <c r="C589" s="1637" t="s">
        <v>2081</v>
      </c>
    </row>
    <row r="590" spans="3:3">
      <c r="C590" s="1637" t="s">
        <v>2668</v>
      </c>
    </row>
    <row r="591" spans="3:3">
      <c r="C591" s="1637" t="s">
        <v>2082</v>
      </c>
    </row>
    <row r="592" spans="3:3">
      <c r="C592" s="1637" t="s">
        <v>2669</v>
      </c>
    </row>
    <row r="593" spans="3:3">
      <c r="C593" s="1637" t="s">
        <v>2083</v>
      </c>
    </row>
    <row r="594" spans="3:3">
      <c r="C594" s="1637" t="s">
        <v>2084</v>
      </c>
    </row>
    <row r="595" spans="3:3">
      <c r="C595" s="1637" t="s">
        <v>2085</v>
      </c>
    </row>
    <row r="596" spans="3:3">
      <c r="C596" s="1637" t="s">
        <v>2086</v>
      </c>
    </row>
    <row r="597" spans="3:3">
      <c r="C597" s="1637" t="s">
        <v>2087</v>
      </c>
    </row>
    <row r="598" spans="3:3">
      <c r="C598" s="1637" t="s">
        <v>2088</v>
      </c>
    </row>
    <row r="599" spans="3:3">
      <c r="C599" s="1637" t="s">
        <v>2089</v>
      </c>
    </row>
    <row r="600" spans="3:3">
      <c r="C600" s="1637" t="s">
        <v>2090</v>
      </c>
    </row>
    <row r="601" spans="3:3">
      <c r="C601" s="1637" t="s">
        <v>2091</v>
      </c>
    </row>
    <row r="602" spans="3:3">
      <c r="C602" s="1637" t="s">
        <v>2092</v>
      </c>
    </row>
    <row r="603" spans="3:3">
      <c r="C603" s="1637" t="s">
        <v>2093</v>
      </c>
    </row>
    <row r="604" spans="3:3">
      <c r="C604" s="1637" t="s">
        <v>2094</v>
      </c>
    </row>
    <row r="605" spans="3:3">
      <c r="C605" s="1637" t="s">
        <v>2095</v>
      </c>
    </row>
    <row r="606" spans="3:3">
      <c r="C606" s="1637" t="s">
        <v>2096</v>
      </c>
    </row>
    <row r="607" spans="3:3">
      <c r="C607" s="1637" t="s">
        <v>2097</v>
      </c>
    </row>
    <row r="608" spans="3:3">
      <c r="C608" s="1637" t="s">
        <v>2098</v>
      </c>
    </row>
    <row r="609" spans="3:3">
      <c r="C609" s="1637" t="s">
        <v>2099</v>
      </c>
    </row>
    <row r="610" spans="3:3">
      <c r="C610" s="1637" t="s">
        <v>2100</v>
      </c>
    </row>
    <row r="611" spans="3:3">
      <c r="C611" s="1637" t="s">
        <v>2101</v>
      </c>
    </row>
    <row r="612" spans="3:3">
      <c r="C612" s="1637" t="s">
        <v>2102</v>
      </c>
    </row>
    <row r="613" spans="3:3">
      <c r="C613" s="1637" t="s">
        <v>2103</v>
      </c>
    </row>
    <row r="614" spans="3:3">
      <c r="C614" s="1637" t="s">
        <v>2104</v>
      </c>
    </row>
    <row r="615" spans="3:3">
      <c r="C615" s="1637" t="s">
        <v>2105</v>
      </c>
    </row>
    <row r="616" spans="3:3">
      <c r="C616" s="1637" t="s">
        <v>2106</v>
      </c>
    </row>
    <row r="617" spans="3:3">
      <c r="C617" s="1637" t="s">
        <v>2107</v>
      </c>
    </row>
    <row r="618" spans="3:3">
      <c r="C618" s="1637" t="s">
        <v>2108</v>
      </c>
    </row>
    <row r="619" spans="3:3">
      <c r="C619" s="1637" t="s">
        <v>2109</v>
      </c>
    </row>
    <row r="620" spans="3:3">
      <c r="C620" s="1637" t="s">
        <v>2110</v>
      </c>
    </row>
    <row r="621" spans="3:3">
      <c r="C621" s="1637" t="s">
        <v>2111</v>
      </c>
    </row>
    <row r="622" spans="3:3">
      <c r="C622" s="1637" t="s">
        <v>2112</v>
      </c>
    </row>
    <row r="623" spans="3:3">
      <c r="C623" s="1637" t="s">
        <v>2113</v>
      </c>
    </row>
    <row r="624" spans="3:3">
      <c r="C624" s="1637" t="s">
        <v>2114</v>
      </c>
    </row>
    <row r="625" spans="3:3">
      <c r="C625" s="1637" t="s">
        <v>2115</v>
      </c>
    </row>
    <row r="626" spans="3:3">
      <c r="C626" s="1637" t="s">
        <v>2116</v>
      </c>
    </row>
    <row r="627" spans="3:3">
      <c r="C627" s="1637" t="s">
        <v>2117</v>
      </c>
    </row>
    <row r="628" spans="3:3">
      <c r="C628" s="1637" t="s">
        <v>2118</v>
      </c>
    </row>
    <row r="629" spans="3:3">
      <c r="C629" s="1637" t="s">
        <v>2119</v>
      </c>
    </row>
    <row r="630" spans="3:3">
      <c r="C630" s="1637" t="s">
        <v>2120</v>
      </c>
    </row>
    <row r="631" spans="3:3">
      <c r="C631" s="1637" t="s">
        <v>2121</v>
      </c>
    </row>
    <row r="632" spans="3:3">
      <c r="C632" s="1637" t="s">
        <v>2122</v>
      </c>
    </row>
    <row r="633" spans="3:3">
      <c r="C633" s="1637" t="s">
        <v>2123</v>
      </c>
    </row>
    <row r="634" spans="3:3">
      <c r="C634" s="1637" t="s">
        <v>2670</v>
      </c>
    </row>
    <row r="635" spans="3:3">
      <c r="C635" s="1637" t="s">
        <v>2671</v>
      </c>
    </row>
    <row r="636" spans="3:3">
      <c r="C636" s="1637" t="s">
        <v>2672</v>
      </c>
    </row>
    <row r="637" spans="3:3">
      <c r="C637" s="1637" t="s">
        <v>2673</v>
      </c>
    </row>
    <row r="638" spans="3:3">
      <c r="C638" s="1637" t="s">
        <v>2674</v>
      </c>
    </row>
    <row r="639" spans="3:3">
      <c r="C639" s="1637" t="s">
        <v>2675</v>
      </c>
    </row>
    <row r="640" spans="3:3">
      <c r="C640" s="1637" t="s">
        <v>2676</v>
      </c>
    </row>
    <row r="641" spans="3:3">
      <c r="C641" s="1637" t="s">
        <v>2677</v>
      </c>
    </row>
    <row r="642" spans="3:3">
      <c r="C642" s="1637" t="s">
        <v>2678</v>
      </c>
    </row>
    <row r="643" spans="3:3">
      <c r="C643" s="1637" t="s">
        <v>2679</v>
      </c>
    </row>
    <row r="644" spans="3:3">
      <c r="C644" s="1637" t="s">
        <v>2680</v>
      </c>
    </row>
    <row r="645" spans="3:3">
      <c r="C645" s="1637" t="s">
        <v>2681</v>
      </c>
    </row>
    <row r="646" spans="3:3">
      <c r="C646" s="1637" t="s">
        <v>2682</v>
      </c>
    </row>
    <row r="647" spans="3:3">
      <c r="C647" s="1637" t="s">
        <v>2683</v>
      </c>
    </row>
    <row r="648" spans="3:3">
      <c r="C648" s="1637" t="s">
        <v>2684</v>
      </c>
    </row>
    <row r="649" spans="3:3">
      <c r="C649" s="1637" t="s">
        <v>2685</v>
      </c>
    </row>
    <row r="650" spans="3:3">
      <c r="C650" s="1637" t="s">
        <v>2686</v>
      </c>
    </row>
    <row r="651" spans="3:3">
      <c r="C651" s="1637" t="s">
        <v>2687</v>
      </c>
    </row>
    <row r="652" spans="3:3">
      <c r="C652" s="1637" t="s">
        <v>2688</v>
      </c>
    </row>
    <row r="653" spans="3:3">
      <c r="C653" s="1637" t="s">
        <v>2689</v>
      </c>
    </row>
    <row r="654" spans="3:3">
      <c r="C654" s="1637" t="s">
        <v>2690</v>
      </c>
    </row>
    <row r="655" spans="3:3">
      <c r="C655" s="1637" t="s">
        <v>2691</v>
      </c>
    </row>
    <row r="656" spans="3:3">
      <c r="C656" s="1637" t="s">
        <v>2692</v>
      </c>
    </row>
    <row r="657" spans="3:3">
      <c r="C657" s="1637" t="s">
        <v>2693</v>
      </c>
    </row>
    <row r="658" spans="3:3">
      <c r="C658" s="1637" t="s">
        <v>2694</v>
      </c>
    </row>
    <row r="659" spans="3:3">
      <c r="C659" s="1637" t="s">
        <v>2695</v>
      </c>
    </row>
    <row r="660" spans="3:3">
      <c r="C660" s="1637" t="s">
        <v>2696</v>
      </c>
    </row>
    <row r="661" spans="3:3">
      <c r="C661" s="1637" t="s">
        <v>2697</v>
      </c>
    </row>
    <row r="662" spans="3:3">
      <c r="C662" s="1637" t="s">
        <v>2698</v>
      </c>
    </row>
    <row r="663" spans="3:3">
      <c r="C663" s="1637" t="s">
        <v>2699</v>
      </c>
    </row>
    <row r="664" spans="3:3">
      <c r="C664" s="1637" t="s">
        <v>2700</v>
      </c>
    </row>
    <row r="665" spans="3:3">
      <c r="C665" s="1637" t="s">
        <v>2701</v>
      </c>
    </row>
    <row r="666" spans="3:3">
      <c r="C666" s="1637" t="s">
        <v>2702</v>
      </c>
    </row>
    <row r="667" spans="3:3">
      <c r="C667" s="1637" t="s">
        <v>2703</v>
      </c>
    </row>
    <row r="668" spans="3:3">
      <c r="C668" s="1637" t="s">
        <v>2704</v>
      </c>
    </row>
    <row r="669" spans="3:3">
      <c r="C669" s="1637" t="s">
        <v>2705</v>
      </c>
    </row>
    <row r="670" spans="3:3">
      <c r="C670" s="1637" t="s">
        <v>2706</v>
      </c>
    </row>
    <row r="671" spans="3:3">
      <c r="C671" s="1637" t="s">
        <v>2707</v>
      </c>
    </row>
    <row r="672" spans="3:3">
      <c r="C672" s="1637" t="s">
        <v>2124</v>
      </c>
    </row>
    <row r="673" spans="3:3">
      <c r="C673" s="1637" t="s">
        <v>2708</v>
      </c>
    </row>
    <row r="674" spans="3:3">
      <c r="C674" s="1637" t="s">
        <v>2125</v>
      </c>
    </row>
    <row r="675" spans="3:3">
      <c r="C675" s="1637" t="s">
        <v>2709</v>
      </c>
    </row>
    <row r="676" spans="3:3">
      <c r="C676" s="1637" t="s">
        <v>2126</v>
      </c>
    </row>
    <row r="677" spans="3:3">
      <c r="C677" s="1637" t="s">
        <v>2127</v>
      </c>
    </row>
    <row r="678" spans="3:3">
      <c r="C678" s="1637" t="s">
        <v>2128</v>
      </c>
    </row>
    <row r="679" spans="3:3">
      <c r="C679" s="1637" t="s">
        <v>2129</v>
      </c>
    </row>
    <row r="680" spans="3:3">
      <c r="C680" s="1637" t="s">
        <v>2130</v>
      </c>
    </row>
    <row r="681" spans="3:3">
      <c r="C681" s="1637" t="s">
        <v>2131</v>
      </c>
    </row>
    <row r="682" spans="3:3">
      <c r="C682" s="1637" t="s">
        <v>2132</v>
      </c>
    </row>
    <row r="683" spans="3:3">
      <c r="C683" s="1637" t="s">
        <v>2133</v>
      </c>
    </row>
    <row r="684" spans="3:3">
      <c r="C684" s="1637" t="s">
        <v>2134</v>
      </c>
    </row>
    <row r="685" spans="3:3">
      <c r="C685" s="1637" t="s">
        <v>2135</v>
      </c>
    </row>
    <row r="686" spans="3:3">
      <c r="C686" s="1637" t="s">
        <v>2136</v>
      </c>
    </row>
    <row r="687" spans="3:3">
      <c r="C687" s="1637" t="s">
        <v>2137</v>
      </c>
    </row>
    <row r="688" spans="3:3">
      <c r="C688" s="1637" t="s">
        <v>2138</v>
      </c>
    </row>
    <row r="689" spans="3:3">
      <c r="C689" s="1637" t="s">
        <v>2139</v>
      </c>
    </row>
    <row r="690" spans="3:3">
      <c r="C690" s="1637" t="s">
        <v>2140</v>
      </c>
    </row>
    <row r="691" spans="3:3">
      <c r="C691" s="1637" t="s">
        <v>2141</v>
      </c>
    </row>
    <row r="692" spans="3:3">
      <c r="C692" s="1637" t="s">
        <v>2142</v>
      </c>
    </row>
    <row r="693" spans="3:3">
      <c r="C693" s="1637" t="s">
        <v>2143</v>
      </c>
    </row>
    <row r="694" spans="3:3">
      <c r="C694" s="1637" t="s">
        <v>2144</v>
      </c>
    </row>
    <row r="695" spans="3:3">
      <c r="C695" s="1637" t="s">
        <v>2145</v>
      </c>
    </row>
    <row r="696" spans="3:3">
      <c r="C696" s="1637" t="s">
        <v>2146</v>
      </c>
    </row>
    <row r="697" spans="3:3">
      <c r="C697" s="1637" t="s">
        <v>2147</v>
      </c>
    </row>
    <row r="698" spans="3:3">
      <c r="C698" s="1637" t="s">
        <v>2148</v>
      </c>
    </row>
    <row r="699" spans="3:3">
      <c r="C699" s="1637" t="s">
        <v>2149</v>
      </c>
    </row>
    <row r="700" spans="3:3">
      <c r="C700" s="1637" t="s">
        <v>2150</v>
      </c>
    </row>
    <row r="701" spans="3:3">
      <c r="C701" s="1637" t="s">
        <v>2151</v>
      </c>
    </row>
    <row r="702" spans="3:3">
      <c r="C702" s="1637" t="s">
        <v>2152</v>
      </c>
    </row>
    <row r="703" spans="3:3">
      <c r="C703" s="1637" t="s">
        <v>2153</v>
      </c>
    </row>
    <row r="704" spans="3:3">
      <c r="C704" s="1637" t="s">
        <v>2154</v>
      </c>
    </row>
    <row r="705" spans="3:3">
      <c r="C705" s="1637" t="s">
        <v>2155</v>
      </c>
    </row>
    <row r="706" spans="3:3">
      <c r="C706" s="1637" t="s">
        <v>2156</v>
      </c>
    </row>
    <row r="707" spans="3:3">
      <c r="C707" s="1637" t="s">
        <v>2157</v>
      </c>
    </row>
    <row r="708" spans="3:3">
      <c r="C708" s="1637" t="s">
        <v>2158</v>
      </c>
    </row>
    <row r="709" spans="3:3">
      <c r="C709" s="1637" t="s">
        <v>2159</v>
      </c>
    </row>
    <row r="710" spans="3:3">
      <c r="C710" s="1637" t="s">
        <v>2160</v>
      </c>
    </row>
    <row r="711" spans="3:3">
      <c r="C711" s="1637" t="s">
        <v>2161</v>
      </c>
    </row>
    <row r="712" spans="3:3">
      <c r="C712" s="1637" t="s">
        <v>2162</v>
      </c>
    </row>
    <row r="713" spans="3:3">
      <c r="C713" s="1637" t="s">
        <v>2163</v>
      </c>
    </row>
    <row r="714" spans="3:3">
      <c r="C714" s="1637" t="s">
        <v>2164</v>
      </c>
    </row>
    <row r="715" spans="3:3">
      <c r="C715" s="1637" t="s">
        <v>2165</v>
      </c>
    </row>
    <row r="716" spans="3:3">
      <c r="C716" s="1637" t="s">
        <v>2166</v>
      </c>
    </row>
    <row r="717" spans="3:3">
      <c r="C717" s="1637" t="s">
        <v>2710</v>
      </c>
    </row>
    <row r="718" spans="3:3">
      <c r="C718" s="1637" t="s">
        <v>2711</v>
      </c>
    </row>
    <row r="719" spans="3:3">
      <c r="C719" s="1637" t="s">
        <v>2712</v>
      </c>
    </row>
    <row r="720" spans="3:3">
      <c r="C720" s="1637" t="s">
        <v>2713</v>
      </c>
    </row>
    <row r="721" spans="3:3">
      <c r="C721" s="1637" t="s">
        <v>2714</v>
      </c>
    </row>
    <row r="722" spans="3:3">
      <c r="C722" s="1637" t="s">
        <v>2715</v>
      </c>
    </row>
    <row r="723" spans="3:3">
      <c r="C723" s="1637" t="s">
        <v>2716</v>
      </c>
    </row>
    <row r="724" spans="3:3">
      <c r="C724" s="1637" t="s">
        <v>2717</v>
      </c>
    </row>
    <row r="725" spans="3:3">
      <c r="C725" s="1637" t="s">
        <v>2718</v>
      </c>
    </row>
    <row r="726" spans="3:3">
      <c r="C726" s="1637" t="s">
        <v>2719</v>
      </c>
    </row>
    <row r="727" spans="3:3">
      <c r="C727" s="1637" t="s">
        <v>2720</v>
      </c>
    </row>
    <row r="728" spans="3:3">
      <c r="C728" s="1637" t="s">
        <v>2721</v>
      </c>
    </row>
    <row r="729" spans="3:3">
      <c r="C729" s="1637" t="s">
        <v>2722</v>
      </c>
    </row>
    <row r="730" spans="3:3">
      <c r="C730" s="1637" t="s">
        <v>2723</v>
      </c>
    </row>
    <row r="731" spans="3:3">
      <c r="C731" s="1637" t="s">
        <v>2724</v>
      </c>
    </row>
    <row r="732" spans="3:3">
      <c r="C732" s="1637" t="s">
        <v>2725</v>
      </c>
    </row>
    <row r="733" spans="3:3">
      <c r="C733" s="1637" t="s">
        <v>2726</v>
      </c>
    </row>
    <row r="734" spans="3:3">
      <c r="C734" s="1637" t="s">
        <v>2727</v>
      </c>
    </row>
    <row r="735" spans="3:3">
      <c r="C735" s="1637" t="s">
        <v>2728</v>
      </c>
    </row>
    <row r="736" spans="3:3">
      <c r="C736" s="1637" t="s">
        <v>2729</v>
      </c>
    </row>
    <row r="737" spans="3:3">
      <c r="C737" s="1637" t="s">
        <v>2730</v>
      </c>
    </row>
    <row r="738" spans="3:3">
      <c r="C738" s="1637" t="s">
        <v>2731</v>
      </c>
    </row>
    <row r="739" spans="3:3">
      <c r="C739" s="1637" t="s">
        <v>2732</v>
      </c>
    </row>
    <row r="740" spans="3:3">
      <c r="C740" s="1637" t="s">
        <v>2733</v>
      </c>
    </row>
    <row r="741" spans="3:3">
      <c r="C741" s="1637" t="s">
        <v>2734</v>
      </c>
    </row>
    <row r="742" spans="3:3">
      <c r="C742" s="1637" t="s">
        <v>2735</v>
      </c>
    </row>
    <row r="743" spans="3:3">
      <c r="C743" s="1637" t="s">
        <v>2736</v>
      </c>
    </row>
    <row r="744" spans="3:3">
      <c r="C744" s="1637" t="s">
        <v>2737</v>
      </c>
    </row>
    <row r="745" spans="3:3">
      <c r="C745" s="1637" t="s">
        <v>2738</v>
      </c>
    </row>
    <row r="746" spans="3:3">
      <c r="C746" s="1637" t="s">
        <v>2739</v>
      </c>
    </row>
    <row r="747" spans="3:3">
      <c r="C747" s="1637" t="s">
        <v>2740</v>
      </c>
    </row>
    <row r="748" spans="3:3">
      <c r="C748" s="1637" t="s">
        <v>2741</v>
      </c>
    </row>
    <row r="749" spans="3:3">
      <c r="C749" s="1637" t="s">
        <v>2742</v>
      </c>
    </row>
    <row r="750" spans="3:3">
      <c r="C750" s="1637" t="s">
        <v>2743</v>
      </c>
    </row>
    <row r="751" spans="3:3">
      <c r="C751" s="1637" t="s">
        <v>2744</v>
      </c>
    </row>
    <row r="752" spans="3:3">
      <c r="C752" s="1637" t="s">
        <v>2745</v>
      </c>
    </row>
    <row r="753" spans="3:3">
      <c r="C753" s="1637" t="s">
        <v>2746</v>
      </c>
    </row>
    <row r="754" spans="3:3">
      <c r="C754" s="1637" t="s">
        <v>2747</v>
      </c>
    </row>
    <row r="755" spans="3:3">
      <c r="C755" s="1637" t="s">
        <v>2748</v>
      </c>
    </row>
    <row r="756" spans="3:3">
      <c r="C756" s="1637" t="s">
        <v>2749</v>
      </c>
    </row>
    <row r="757" spans="3:3">
      <c r="C757" s="1637" t="s">
        <v>2750</v>
      </c>
    </row>
    <row r="758" spans="3:3">
      <c r="C758" s="1637" t="s">
        <v>2751</v>
      </c>
    </row>
    <row r="759" spans="3:3">
      <c r="C759" s="1637" t="s">
        <v>2752</v>
      </c>
    </row>
    <row r="760" spans="3:3">
      <c r="C760" s="1637" t="s">
        <v>2753</v>
      </c>
    </row>
    <row r="761" spans="3:3">
      <c r="C761" s="1637" t="s">
        <v>2754</v>
      </c>
    </row>
    <row r="762" spans="3:3">
      <c r="C762" s="1637" t="s">
        <v>2755</v>
      </c>
    </row>
    <row r="763" spans="3:3">
      <c r="C763" s="1637" t="s">
        <v>2756</v>
      </c>
    </row>
    <row r="764" spans="3:3">
      <c r="C764" s="1637" t="s">
        <v>2757</v>
      </c>
    </row>
    <row r="765" spans="3:3">
      <c r="C765" s="1637" t="s">
        <v>2758</v>
      </c>
    </row>
    <row r="766" spans="3:3">
      <c r="C766" s="1637" t="s">
        <v>2759</v>
      </c>
    </row>
    <row r="767" spans="3:3">
      <c r="C767" s="1637" t="s">
        <v>2760</v>
      </c>
    </row>
    <row r="768" spans="3:3">
      <c r="C768" s="1637" t="s">
        <v>2761</v>
      </c>
    </row>
    <row r="769" spans="3:3">
      <c r="C769" s="1637" t="s">
        <v>2762</v>
      </c>
    </row>
    <row r="770" spans="3:3">
      <c r="C770" s="1637" t="s">
        <v>2763</v>
      </c>
    </row>
    <row r="771" spans="3:3">
      <c r="C771" s="1637" t="s">
        <v>2764</v>
      </c>
    </row>
    <row r="772" spans="3:3">
      <c r="C772" s="1637" t="s">
        <v>2765</v>
      </c>
    </row>
    <row r="773" spans="3:3">
      <c r="C773" s="1637" t="s">
        <v>2766</v>
      </c>
    </row>
    <row r="774" spans="3:3">
      <c r="C774" s="1637" t="s">
        <v>2767</v>
      </c>
    </row>
    <row r="775" spans="3:3">
      <c r="C775" s="1637" t="s">
        <v>2768</v>
      </c>
    </row>
    <row r="776" spans="3:3">
      <c r="C776" s="1637" t="s">
        <v>2769</v>
      </c>
    </row>
    <row r="777" spans="3:3">
      <c r="C777" s="1637" t="s">
        <v>2770</v>
      </c>
    </row>
    <row r="778" spans="3:3">
      <c r="C778" s="1637" t="s">
        <v>2771</v>
      </c>
    </row>
    <row r="779" spans="3:3">
      <c r="C779" s="1637" t="s">
        <v>2772</v>
      </c>
    </row>
    <row r="780" spans="3:3">
      <c r="C780" s="1637" t="s">
        <v>2773</v>
      </c>
    </row>
    <row r="781" spans="3:3">
      <c r="C781" s="1637" t="s">
        <v>2774</v>
      </c>
    </row>
    <row r="782" spans="3:3">
      <c r="C782" s="1637" t="s">
        <v>2775</v>
      </c>
    </row>
    <row r="783" spans="3:3">
      <c r="C783" s="1637" t="s">
        <v>2776</v>
      </c>
    </row>
    <row r="784" spans="3:3">
      <c r="C784" s="1637" t="s">
        <v>2777</v>
      </c>
    </row>
    <row r="785" spans="3:3">
      <c r="C785" s="1637" t="s">
        <v>2778</v>
      </c>
    </row>
    <row r="786" spans="3:3">
      <c r="C786" s="1637" t="s">
        <v>2779</v>
      </c>
    </row>
    <row r="787" spans="3:3">
      <c r="C787" s="1637" t="s">
        <v>2780</v>
      </c>
    </row>
    <row r="788" spans="3:3">
      <c r="C788" s="1637" t="s">
        <v>2781</v>
      </c>
    </row>
    <row r="789" spans="3:3">
      <c r="C789" s="1637" t="s">
        <v>2782</v>
      </c>
    </row>
    <row r="790" spans="3:3">
      <c r="C790" s="1637" t="s">
        <v>2783</v>
      </c>
    </row>
    <row r="791" spans="3:3">
      <c r="C791" s="1637" t="s">
        <v>2784</v>
      </c>
    </row>
    <row r="792" spans="3:3">
      <c r="C792" s="1637" t="s">
        <v>2785</v>
      </c>
    </row>
    <row r="793" spans="3:3">
      <c r="C793" s="1637" t="s">
        <v>2786</v>
      </c>
    </row>
    <row r="794" spans="3:3">
      <c r="C794" s="1637" t="s">
        <v>2787</v>
      </c>
    </row>
    <row r="795" spans="3:3">
      <c r="C795" s="1637" t="s">
        <v>2788</v>
      </c>
    </row>
    <row r="796" spans="3:3">
      <c r="C796" s="1637" t="s">
        <v>2789</v>
      </c>
    </row>
    <row r="797" spans="3:3">
      <c r="C797" s="1637" t="s">
        <v>2790</v>
      </c>
    </row>
    <row r="798" spans="3:3">
      <c r="C798" s="1637" t="s">
        <v>2791</v>
      </c>
    </row>
    <row r="799" spans="3:3">
      <c r="C799" s="1637" t="s">
        <v>2792</v>
      </c>
    </row>
    <row r="800" spans="3:3">
      <c r="C800" s="1637" t="s">
        <v>2793</v>
      </c>
    </row>
    <row r="801" spans="3:3">
      <c r="C801" s="1637" t="s">
        <v>2794</v>
      </c>
    </row>
    <row r="802" spans="3:3">
      <c r="C802" s="1637" t="s">
        <v>2795</v>
      </c>
    </row>
    <row r="803" spans="3:3">
      <c r="C803" s="1637" t="s">
        <v>2796</v>
      </c>
    </row>
    <row r="804" spans="3:3">
      <c r="C804" s="1637" t="s">
        <v>2797</v>
      </c>
    </row>
    <row r="805" spans="3:3">
      <c r="C805" s="1637" t="s">
        <v>2798</v>
      </c>
    </row>
    <row r="806" spans="3:3">
      <c r="C806" s="1637" t="s">
        <v>2799</v>
      </c>
    </row>
    <row r="807" spans="3:3">
      <c r="C807" s="1637" t="s">
        <v>2800</v>
      </c>
    </row>
    <row r="808" spans="3:3">
      <c r="C808" s="1637" t="s">
        <v>2801</v>
      </c>
    </row>
    <row r="809" spans="3:3">
      <c r="C809" s="1637" t="s">
        <v>2802</v>
      </c>
    </row>
    <row r="810" spans="3:3">
      <c r="C810" s="1637" t="s">
        <v>2803</v>
      </c>
    </row>
    <row r="811" spans="3:3">
      <c r="C811" s="1637" t="s">
        <v>2804</v>
      </c>
    </row>
    <row r="812" spans="3:3">
      <c r="C812" s="1637" t="s">
        <v>2805</v>
      </c>
    </row>
    <row r="813" spans="3:3">
      <c r="C813" s="1637" t="s">
        <v>2806</v>
      </c>
    </row>
    <row r="814" spans="3:3">
      <c r="C814" s="1637" t="s">
        <v>2807</v>
      </c>
    </row>
    <row r="815" spans="3:3">
      <c r="C815" s="1637" t="s">
        <v>2808</v>
      </c>
    </row>
    <row r="816" spans="3:3">
      <c r="C816" s="1637" t="s">
        <v>2809</v>
      </c>
    </row>
    <row r="817" spans="3:3">
      <c r="C817" s="1637" t="s">
        <v>2810</v>
      </c>
    </row>
    <row r="818" spans="3:3">
      <c r="C818" s="1637" t="s">
        <v>2811</v>
      </c>
    </row>
    <row r="819" spans="3:3">
      <c r="C819" s="1637" t="s">
        <v>2812</v>
      </c>
    </row>
    <row r="820" spans="3:3">
      <c r="C820" s="1637" t="s">
        <v>2813</v>
      </c>
    </row>
    <row r="821" spans="3:3">
      <c r="C821" s="1637" t="s">
        <v>2814</v>
      </c>
    </row>
    <row r="822" spans="3:3">
      <c r="C822" s="1637" t="s">
        <v>2815</v>
      </c>
    </row>
    <row r="823" spans="3:3">
      <c r="C823" s="1637" t="s">
        <v>2816</v>
      </c>
    </row>
    <row r="824" spans="3:3">
      <c r="C824" s="1637" t="s">
        <v>2817</v>
      </c>
    </row>
    <row r="825" spans="3:3">
      <c r="C825" s="1637" t="s">
        <v>2818</v>
      </c>
    </row>
    <row r="826" spans="3:3">
      <c r="C826" s="1637" t="s">
        <v>2819</v>
      </c>
    </row>
    <row r="827" spans="3:3">
      <c r="C827" s="1637" t="s">
        <v>2820</v>
      </c>
    </row>
    <row r="828" spans="3:3">
      <c r="C828" s="1637" t="s">
        <v>2821</v>
      </c>
    </row>
    <row r="829" spans="3:3">
      <c r="C829" s="1637" t="s">
        <v>2822</v>
      </c>
    </row>
    <row r="830" spans="3:3">
      <c r="C830" s="1637" t="s">
        <v>2823</v>
      </c>
    </row>
    <row r="831" spans="3:3">
      <c r="C831" s="1637" t="s">
        <v>2824</v>
      </c>
    </row>
    <row r="832" spans="3:3">
      <c r="C832" s="1637" t="s">
        <v>2825</v>
      </c>
    </row>
    <row r="833" spans="3:3">
      <c r="C833" s="1637" t="s">
        <v>2826</v>
      </c>
    </row>
    <row r="834" spans="3:3">
      <c r="C834" s="1637" t="s">
        <v>2827</v>
      </c>
    </row>
    <row r="835" spans="3:3">
      <c r="C835" s="1637" t="s">
        <v>2828</v>
      </c>
    </row>
    <row r="836" spans="3:3">
      <c r="C836" s="1637" t="s">
        <v>2829</v>
      </c>
    </row>
    <row r="837" spans="3:3">
      <c r="C837" s="1637" t="s">
        <v>2830</v>
      </c>
    </row>
    <row r="838" spans="3:3">
      <c r="C838" s="1637" t="s">
        <v>2831</v>
      </c>
    </row>
    <row r="839" spans="3:3">
      <c r="C839" s="1637" t="s">
        <v>2832</v>
      </c>
    </row>
    <row r="840" spans="3:3">
      <c r="C840" s="1637" t="s">
        <v>2833</v>
      </c>
    </row>
    <row r="841" spans="3:3">
      <c r="C841" s="1637" t="s">
        <v>2834</v>
      </c>
    </row>
    <row r="842" spans="3:3">
      <c r="C842" s="1637" t="s">
        <v>2835</v>
      </c>
    </row>
    <row r="843" spans="3:3">
      <c r="C843" s="1637" t="s">
        <v>2836</v>
      </c>
    </row>
    <row r="844" spans="3:3">
      <c r="C844" s="1637" t="s">
        <v>2837</v>
      </c>
    </row>
    <row r="845" spans="3:3">
      <c r="C845" s="1637" t="s">
        <v>2838</v>
      </c>
    </row>
    <row r="846" spans="3:3">
      <c r="C846" s="1637" t="s">
        <v>2839</v>
      </c>
    </row>
    <row r="847" spans="3:3">
      <c r="C847" s="1637" t="s">
        <v>2840</v>
      </c>
    </row>
    <row r="848" spans="3:3">
      <c r="C848" s="1637" t="s">
        <v>2841</v>
      </c>
    </row>
    <row r="849" spans="3:3">
      <c r="C849" s="1637" t="s">
        <v>2842</v>
      </c>
    </row>
    <row r="850" spans="3:3">
      <c r="C850" s="1637" t="s">
        <v>2843</v>
      </c>
    </row>
    <row r="851" spans="3:3">
      <c r="C851" s="1637" t="s">
        <v>2844</v>
      </c>
    </row>
    <row r="852" spans="3:3">
      <c r="C852" s="1637" t="s">
        <v>2845</v>
      </c>
    </row>
    <row r="853" spans="3:3">
      <c r="C853" s="1637" t="s">
        <v>2846</v>
      </c>
    </row>
    <row r="854" spans="3:3">
      <c r="C854" s="1637" t="s">
        <v>2847</v>
      </c>
    </row>
    <row r="855" spans="3:3">
      <c r="C855" s="1637" t="s">
        <v>2848</v>
      </c>
    </row>
    <row r="856" spans="3:3">
      <c r="C856" s="1637" t="s">
        <v>2849</v>
      </c>
    </row>
    <row r="857" spans="3:3">
      <c r="C857" s="1637" t="s">
        <v>2850</v>
      </c>
    </row>
    <row r="858" spans="3:3">
      <c r="C858" s="1637" t="s">
        <v>2851</v>
      </c>
    </row>
    <row r="859" spans="3:3">
      <c r="C859" s="1637" t="s">
        <v>2852</v>
      </c>
    </row>
    <row r="860" spans="3:3">
      <c r="C860" s="1637" t="s">
        <v>2853</v>
      </c>
    </row>
    <row r="861" spans="3:3">
      <c r="C861" s="1637" t="s">
        <v>2854</v>
      </c>
    </row>
    <row r="862" spans="3:3">
      <c r="C862" s="1637" t="s">
        <v>2855</v>
      </c>
    </row>
    <row r="863" spans="3:3">
      <c r="C863" s="1637" t="s">
        <v>2856</v>
      </c>
    </row>
    <row r="864" spans="3:3">
      <c r="C864" s="1637" t="s">
        <v>2857</v>
      </c>
    </row>
    <row r="865" spans="3:3">
      <c r="C865" s="1637" t="s">
        <v>2858</v>
      </c>
    </row>
    <row r="866" spans="3:3">
      <c r="C866" s="1637" t="s">
        <v>2859</v>
      </c>
    </row>
    <row r="867" spans="3:3">
      <c r="C867" s="1637" t="s">
        <v>2860</v>
      </c>
    </row>
    <row r="868" spans="3:3">
      <c r="C868" s="1637" t="s">
        <v>2861</v>
      </c>
    </row>
    <row r="869" spans="3:3">
      <c r="C869" s="1637" t="s">
        <v>2862</v>
      </c>
    </row>
    <row r="870" spans="3:3">
      <c r="C870" s="1637" t="s">
        <v>2863</v>
      </c>
    </row>
    <row r="871" spans="3:3">
      <c r="C871" s="1637" t="s">
        <v>2864</v>
      </c>
    </row>
    <row r="872" spans="3:3">
      <c r="C872" s="1637" t="s">
        <v>2865</v>
      </c>
    </row>
    <row r="873" spans="3:3">
      <c r="C873" s="1637" t="s">
        <v>2866</v>
      </c>
    </row>
    <row r="874" spans="3:3">
      <c r="C874" s="1637" t="s">
        <v>2867</v>
      </c>
    </row>
    <row r="875" spans="3:3">
      <c r="C875" s="1637" t="s">
        <v>2868</v>
      </c>
    </row>
    <row r="876" spans="3:3">
      <c r="C876" s="1637" t="s">
        <v>2869</v>
      </c>
    </row>
    <row r="877" spans="3:3">
      <c r="C877" s="1637" t="s">
        <v>2870</v>
      </c>
    </row>
    <row r="878" spans="3:3">
      <c r="C878" s="1637" t="s">
        <v>2871</v>
      </c>
    </row>
    <row r="879" spans="3:3">
      <c r="C879" s="1637" t="s">
        <v>2872</v>
      </c>
    </row>
    <row r="880" spans="3:3">
      <c r="C880" s="1637" t="s">
        <v>2873</v>
      </c>
    </row>
    <row r="881" spans="3:3">
      <c r="C881" s="1637" t="s">
        <v>2874</v>
      </c>
    </row>
    <row r="882" spans="3:3">
      <c r="C882" s="1637" t="s">
        <v>2875</v>
      </c>
    </row>
    <row r="883" spans="3:3">
      <c r="C883" s="1637" t="s">
        <v>2876</v>
      </c>
    </row>
    <row r="884" spans="3:3">
      <c r="C884" s="1637" t="s">
        <v>2877</v>
      </c>
    </row>
    <row r="885" spans="3:3">
      <c r="C885" s="1637" t="s">
        <v>2878</v>
      </c>
    </row>
    <row r="886" spans="3:3">
      <c r="C886" s="1637" t="s">
        <v>2879</v>
      </c>
    </row>
    <row r="887" spans="3:3">
      <c r="C887" s="1637" t="s">
        <v>2880</v>
      </c>
    </row>
    <row r="888" spans="3:3">
      <c r="C888" s="1637" t="s">
        <v>2881</v>
      </c>
    </row>
    <row r="889" spans="3:3">
      <c r="C889" s="1637" t="s">
        <v>2882</v>
      </c>
    </row>
    <row r="890" spans="3:3">
      <c r="C890" s="1637" t="s">
        <v>2883</v>
      </c>
    </row>
    <row r="891" spans="3:3">
      <c r="C891" s="1637" t="s">
        <v>2884</v>
      </c>
    </row>
    <row r="892" spans="3:3">
      <c r="C892" s="1637" t="s">
        <v>2885</v>
      </c>
    </row>
    <row r="893" spans="3:3">
      <c r="C893" s="1637" t="s">
        <v>2886</v>
      </c>
    </row>
    <row r="894" spans="3:3">
      <c r="C894" s="1637" t="s">
        <v>2887</v>
      </c>
    </row>
    <row r="895" spans="3:3">
      <c r="C895" s="1637" t="s">
        <v>2888</v>
      </c>
    </row>
    <row r="896" spans="3:3">
      <c r="C896" s="1637" t="s">
        <v>2889</v>
      </c>
    </row>
    <row r="897" spans="3:3">
      <c r="C897" s="1637" t="s">
        <v>2890</v>
      </c>
    </row>
    <row r="898" spans="3:3">
      <c r="C898" s="1637" t="s">
        <v>2891</v>
      </c>
    </row>
    <row r="899" spans="3:3">
      <c r="C899" s="1637" t="s">
        <v>2892</v>
      </c>
    </row>
    <row r="900" spans="3:3">
      <c r="C900" s="1637" t="s">
        <v>2893</v>
      </c>
    </row>
    <row r="901" spans="3:3">
      <c r="C901" s="1637" t="s">
        <v>2894</v>
      </c>
    </row>
    <row r="902" spans="3:3">
      <c r="C902" s="1637" t="s">
        <v>2895</v>
      </c>
    </row>
    <row r="903" spans="3:3">
      <c r="C903" s="1637" t="s">
        <v>2896</v>
      </c>
    </row>
    <row r="904" spans="3:3">
      <c r="C904" s="1637" t="s">
        <v>2897</v>
      </c>
    </row>
    <row r="905" spans="3:3">
      <c r="C905" s="1637" t="s">
        <v>2898</v>
      </c>
    </row>
    <row r="906" spans="3:3">
      <c r="C906" s="1637" t="s">
        <v>2899</v>
      </c>
    </row>
    <row r="907" spans="3:3">
      <c r="C907" s="1637" t="s">
        <v>2900</v>
      </c>
    </row>
    <row r="908" spans="3:3">
      <c r="C908" s="1637" t="s">
        <v>2901</v>
      </c>
    </row>
    <row r="909" spans="3:3">
      <c r="C909" s="1637" t="s">
        <v>2902</v>
      </c>
    </row>
    <row r="910" spans="3:3">
      <c r="C910" s="1637" t="s">
        <v>2903</v>
      </c>
    </row>
    <row r="911" spans="3:3">
      <c r="C911" s="1637" t="s">
        <v>2904</v>
      </c>
    </row>
    <row r="912" spans="3:3">
      <c r="C912" s="1637" t="s">
        <v>2905</v>
      </c>
    </row>
    <row r="913" spans="3:3">
      <c r="C913" s="1637" t="s">
        <v>2906</v>
      </c>
    </row>
    <row r="914" spans="3:3">
      <c r="C914" s="1637" t="s">
        <v>2907</v>
      </c>
    </row>
    <row r="915" spans="3:3">
      <c r="C915" s="1637" t="s">
        <v>2908</v>
      </c>
    </row>
    <row r="916" spans="3:3">
      <c r="C916" s="1637" t="s">
        <v>2909</v>
      </c>
    </row>
    <row r="917" spans="3:3">
      <c r="C917" s="1637" t="s">
        <v>2910</v>
      </c>
    </row>
    <row r="918" spans="3:3">
      <c r="C918" s="1637" t="s">
        <v>2911</v>
      </c>
    </row>
    <row r="919" spans="3:3">
      <c r="C919" s="1637" t="s">
        <v>2912</v>
      </c>
    </row>
    <row r="920" spans="3:3">
      <c r="C920" s="1637" t="s">
        <v>2913</v>
      </c>
    </row>
    <row r="921" spans="3:3">
      <c r="C921" s="1637" t="s">
        <v>2914</v>
      </c>
    </row>
    <row r="922" spans="3:3">
      <c r="C922" s="1637" t="s">
        <v>2915</v>
      </c>
    </row>
    <row r="923" spans="3:3">
      <c r="C923" s="1637" t="s">
        <v>2916</v>
      </c>
    </row>
    <row r="924" spans="3:3">
      <c r="C924" s="1637" t="s">
        <v>2917</v>
      </c>
    </row>
    <row r="925" spans="3:3">
      <c r="C925" s="1637" t="s">
        <v>2918</v>
      </c>
    </row>
    <row r="926" spans="3:3">
      <c r="C926" s="1637" t="s">
        <v>2919</v>
      </c>
    </row>
    <row r="927" spans="3:3">
      <c r="C927" s="1637" t="s">
        <v>2920</v>
      </c>
    </row>
    <row r="928" spans="3:3">
      <c r="C928" s="1637" t="s">
        <v>2921</v>
      </c>
    </row>
    <row r="929" spans="3:3">
      <c r="C929" s="1637" t="s">
        <v>2922</v>
      </c>
    </row>
    <row r="930" spans="3:3">
      <c r="C930" s="1637" t="s">
        <v>2923</v>
      </c>
    </row>
    <row r="931" spans="3:3">
      <c r="C931" s="1637" t="s">
        <v>2924</v>
      </c>
    </row>
    <row r="932" spans="3:3">
      <c r="C932" s="1637" t="s">
        <v>2925</v>
      </c>
    </row>
    <row r="933" spans="3:3">
      <c r="C933" s="1637" t="s">
        <v>2926</v>
      </c>
    </row>
    <row r="934" spans="3:3">
      <c r="C934" s="1637" t="s">
        <v>2927</v>
      </c>
    </row>
    <row r="935" spans="3:3">
      <c r="C935" s="1637" t="s">
        <v>2928</v>
      </c>
    </row>
    <row r="936" spans="3:3">
      <c r="C936" s="1637" t="s">
        <v>2929</v>
      </c>
    </row>
    <row r="937" spans="3:3">
      <c r="C937" s="1637" t="s">
        <v>2930</v>
      </c>
    </row>
    <row r="938" spans="3:3">
      <c r="C938" s="1637" t="s">
        <v>2931</v>
      </c>
    </row>
    <row r="939" spans="3:3">
      <c r="C939" s="1637" t="s">
        <v>2932</v>
      </c>
    </row>
    <row r="940" spans="3:3">
      <c r="C940" s="1637" t="s">
        <v>2933</v>
      </c>
    </row>
    <row r="941" spans="3:3">
      <c r="C941" s="1637" t="s">
        <v>2934</v>
      </c>
    </row>
    <row r="942" spans="3:3">
      <c r="C942" s="1637" t="s">
        <v>2935</v>
      </c>
    </row>
    <row r="943" spans="3:3">
      <c r="C943" s="1637" t="s">
        <v>2936</v>
      </c>
    </row>
    <row r="944" spans="3:3">
      <c r="C944" s="1637" t="s">
        <v>2937</v>
      </c>
    </row>
    <row r="945" spans="3:3">
      <c r="C945" s="1637" t="s">
        <v>2938</v>
      </c>
    </row>
    <row r="946" spans="3:3">
      <c r="C946" s="1637" t="s">
        <v>2939</v>
      </c>
    </row>
    <row r="947" spans="3:3">
      <c r="C947" s="1637" t="s">
        <v>2940</v>
      </c>
    </row>
    <row r="948" spans="3:3">
      <c r="C948" s="1637" t="s">
        <v>2941</v>
      </c>
    </row>
    <row r="949" spans="3:3">
      <c r="C949" s="1637" t="s">
        <v>2942</v>
      </c>
    </row>
    <row r="950" spans="3:3">
      <c r="C950" s="1637" t="s">
        <v>2943</v>
      </c>
    </row>
    <row r="951" spans="3:3">
      <c r="C951" s="1637" t="s">
        <v>2944</v>
      </c>
    </row>
    <row r="952" spans="3:3">
      <c r="C952" s="1637" t="s">
        <v>2945</v>
      </c>
    </row>
    <row r="953" spans="3:3">
      <c r="C953" s="1637" t="s">
        <v>2946</v>
      </c>
    </row>
    <row r="954" spans="3:3">
      <c r="C954" s="1637" t="s">
        <v>2947</v>
      </c>
    </row>
    <row r="955" spans="3:3">
      <c r="C955" s="1637" t="s">
        <v>2948</v>
      </c>
    </row>
    <row r="956" spans="3:3">
      <c r="C956" s="1637" t="s">
        <v>2949</v>
      </c>
    </row>
    <row r="957" spans="3:3">
      <c r="C957" s="1637" t="s">
        <v>2950</v>
      </c>
    </row>
    <row r="958" spans="3:3">
      <c r="C958" s="1637" t="s">
        <v>2951</v>
      </c>
    </row>
    <row r="959" spans="3:3">
      <c r="C959" s="1637" t="s">
        <v>2952</v>
      </c>
    </row>
    <row r="960" spans="3:3">
      <c r="C960" s="1637" t="s">
        <v>2953</v>
      </c>
    </row>
    <row r="961" spans="3:3">
      <c r="C961" s="1637" t="s">
        <v>2954</v>
      </c>
    </row>
    <row r="962" spans="3:3">
      <c r="C962" s="1637" t="s">
        <v>2955</v>
      </c>
    </row>
    <row r="963" spans="3:3">
      <c r="C963" s="1637" t="s">
        <v>2956</v>
      </c>
    </row>
    <row r="964" spans="3:3">
      <c r="C964" s="1637" t="s">
        <v>2957</v>
      </c>
    </row>
    <row r="965" spans="3:3">
      <c r="C965" s="1637" t="s">
        <v>2958</v>
      </c>
    </row>
    <row r="966" spans="3:3">
      <c r="C966" s="1637" t="s">
        <v>2959</v>
      </c>
    </row>
    <row r="967" spans="3:3">
      <c r="C967" s="1637" t="s">
        <v>2960</v>
      </c>
    </row>
    <row r="968" spans="3:3">
      <c r="C968" s="1637" t="s">
        <v>2961</v>
      </c>
    </row>
    <row r="969" spans="3:3">
      <c r="C969" s="1637" t="s">
        <v>2962</v>
      </c>
    </row>
    <row r="970" spans="3:3">
      <c r="C970" s="1637" t="s">
        <v>2963</v>
      </c>
    </row>
    <row r="971" spans="3:3">
      <c r="C971" s="1637" t="s">
        <v>2964</v>
      </c>
    </row>
    <row r="972" spans="3:3">
      <c r="C972" s="1637" t="s">
        <v>2965</v>
      </c>
    </row>
    <row r="973" spans="3:3">
      <c r="C973" s="1637" t="s">
        <v>2966</v>
      </c>
    </row>
    <row r="974" spans="3:3">
      <c r="C974" s="1637" t="s">
        <v>2967</v>
      </c>
    </row>
    <row r="975" spans="3:3">
      <c r="C975" s="1637" t="s">
        <v>2968</v>
      </c>
    </row>
    <row r="976" spans="3:3">
      <c r="C976" s="1637" t="s">
        <v>2969</v>
      </c>
    </row>
    <row r="977" spans="3:3">
      <c r="C977" s="1637" t="s">
        <v>2970</v>
      </c>
    </row>
    <row r="978" spans="3:3">
      <c r="C978" s="1637" t="s">
        <v>2971</v>
      </c>
    </row>
    <row r="979" spans="3:3">
      <c r="C979" s="1637" t="s">
        <v>2972</v>
      </c>
    </row>
    <row r="980" spans="3:3">
      <c r="C980" s="1637" t="s">
        <v>2973</v>
      </c>
    </row>
    <row r="981" spans="3:3">
      <c r="C981" s="1637" t="s">
        <v>2974</v>
      </c>
    </row>
    <row r="982" spans="3:3">
      <c r="C982" s="1637" t="s">
        <v>2975</v>
      </c>
    </row>
    <row r="983" spans="3:3">
      <c r="C983" s="1637" t="s">
        <v>2976</v>
      </c>
    </row>
    <row r="984" spans="3:3">
      <c r="C984" s="1637" t="s">
        <v>2977</v>
      </c>
    </row>
    <row r="985" spans="3:3">
      <c r="C985" s="1637" t="s">
        <v>2978</v>
      </c>
    </row>
    <row r="986" spans="3:3">
      <c r="C986" s="1637" t="s">
        <v>2979</v>
      </c>
    </row>
    <row r="987" spans="3:3">
      <c r="C987" s="1637" t="s">
        <v>2980</v>
      </c>
    </row>
    <row r="988" spans="3:3">
      <c r="C988" s="1637" t="s">
        <v>2981</v>
      </c>
    </row>
    <row r="989" spans="3:3">
      <c r="C989" s="1637" t="s">
        <v>2982</v>
      </c>
    </row>
    <row r="990" spans="3:3">
      <c r="C990" s="1637" t="s">
        <v>2983</v>
      </c>
    </row>
    <row r="991" spans="3:3">
      <c r="C991" s="1637" t="s">
        <v>2984</v>
      </c>
    </row>
    <row r="992" spans="3:3">
      <c r="C992" s="1637" t="s">
        <v>2985</v>
      </c>
    </row>
    <row r="993" spans="3:3">
      <c r="C993" s="1637" t="s">
        <v>2986</v>
      </c>
    </row>
    <row r="994" spans="3:3">
      <c r="C994" s="1637" t="s">
        <v>2987</v>
      </c>
    </row>
    <row r="995" spans="3:3">
      <c r="C995" s="1637" t="s">
        <v>2988</v>
      </c>
    </row>
    <row r="996" spans="3:3">
      <c r="C996" s="1637" t="s">
        <v>2989</v>
      </c>
    </row>
    <row r="997" spans="3:3">
      <c r="C997" s="1637" t="s">
        <v>2990</v>
      </c>
    </row>
    <row r="998" spans="3:3">
      <c r="C998" s="1637" t="s">
        <v>2991</v>
      </c>
    </row>
    <row r="999" spans="3:3">
      <c r="C999" s="1637" t="s">
        <v>2992</v>
      </c>
    </row>
    <row r="1000" spans="3:3">
      <c r="C1000" s="1637" t="s">
        <v>2993</v>
      </c>
    </row>
    <row r="1001" spans="3:3">
      <c r="C1001" s="1637" t="s">
        <v>2994</v>
      </c>
    </row>
    <row r="1002" spans="3:3">
      <c r="C1002" s="1637" t="s">
        <v>2995</v>
      </c>
    </row>
    <row r="1003" spans="3:3">
      <c r="C1003" s="1637" t="s">
        <v>2996</v>
      </c>
    </row>
    <row r="1004" spans="3:3">
      <c r="C1004" s="1637" t="s">
        <v>2997</v>
      </c>
    </row>
    <row r="1005" spans="3:3">
      <c r="C1005" s="1637" t="s">
        <v>2998</v>
      </c>
    </row>
    <row r="1006" spans="3:3">
      <c r="C1006" s="1637" t="s">
        <v>2999</v>
      </c>
    </row>
    <row r="1007" spans="3:3">
      <c r="C1007" s="1637" t="s">
        <v>3000</v>
      </c>
    </row>
    <row r="1008" spans="3:3">
      <c r="C1008" s="1637" t="s">
        <v>3001</v>
      </c>
    </row>
    <row r="1009" spans="3:3">
      <c r="C1009" s="1637" t="s">
        <v>3002</v>
      </c>
    </row>
    <row r="1010" spans="3:3">
      <c r="C1010" s="1637" t="s">
        <v>3003</v>
      </c>
    </row>
    <row r="1011" spans="3:3">
      <c r="C1011" s="1637" t="s">
        <v>3004</v>
      </c>
    </row>
    <row r="1012" spans="3:3">
      <c r="C1012" s="1637" t="s">
        <v>3005</v>
      </c>
    </row>
    <row r="1013" spans="3:3">
      <c r="C1013" s="1637" t="s">
        <v>3006</v>
      </c>
    </row>
    <row r="1014" spans="3:3">
      <c r="C1014" s="1637" t="s">
        <v>3007</v>
      </c>
    </row>
    <row r="1015" spans="3:3">
      <c r="C1015" s="1637" t="s">
        <v>3008</v>
      </c>
    </row>
    <row r="1016" spans="3:3">
      <c r="C1016" s="1637" t="s">
        <v>3009</v>
      </c>
    </row>
    <row r="1017" spans="3:3">
      <c r="C1017" s="1637" t="s">
        <v>3010</v>
      </c>
    </row>
    <row r="1018" spans="3:3">
      <c r="C1018" s="1637" t="s">
        <v>3011</v>
      </c>
    </row>
    <row r="1019" spans="3:3">
      <c r="C1019" s="1637" t="s">
        <v>3012</v>
      </c>
    </row>
    <row r="1020" spans="3:3">
      <c r="C1020" s="1637" t="s">
        <v>3013</v>
      </c>
    </row>
    <row r="1021" spans="3:3">
      <c r="C1021" s="1637" t="s">
        <v>3014</v>
      </c>
    </row>
    <row r="1022" spans="3:3">
      <c r="C1022" s="1637" t="s">
        <v>3015</v>
      </c>
    </row>
    <row r="1023" spans="3:3">
      <c r="C1023" s="1637" t="s">
        <v>3016</v>
      </c>
    </row>
    <row r="1024" spans="3:3">
      <c r="C1024" s="1637" t="s">
        <v>3017</v>
      </c>
    </row>
    <row r="1025" spans="3:3">
      <c r="C1025" s="1637" t="s">
        <v>3018</v>
      </c>
    </row>
    <row r="1026" spans="3:3">
      <c r="C1026" s="1637" t="s">
        <v>3019</v>
      </c>
    </row>
    <row r="1027" spans="3:3">
      <c r="C1027" s="1637" t="s">
        <v>3020</v>
      </c>
    </row>
    <row r="1028" spans="3:3">
      <c r="C1028" s="1637" t="s">
        <v>3021</v>
      </c>
    </row>
    <row r="1029" spans="3:3">
      <c r="C1029" s="1637" t="s">
        <v>3022</v>
      </c>
    </row>
    <row r="1030" spans="3:3">
      <c r="C1030" s="1637" t="s">
        <v>3023</v>
      </c>
    </row>
    <row r="1031" spans="3:3">
      <c r="C1031" s="1637" t="s">
        <v>3024</v>
      </c>
    </row>
    <row r="1032" spans="3:3">
      <c r="C1032" s="1637" t="s">
        <v>3025</v>
      </c>
    </row>
    <row r="1033" spans="3:3">
      <c r="C1033" s="1637" t="s">
        <v>3026</v>
      </c>
    </row>
    <row r="1034" spans="3:3">
      <c r="C1034" s="1637" t="s">
        <v>3027</v>
      </c>
    </row>
    <row r="1035" spans="3:3">
      <c r="C1035" s="1637" t="s">
        <v>3028</v>
      </c>
    </row>
    <row r="1036" spans="3:3">
      <c r="C1036" s="1637" t="s">
        <v>3029</v>
      </c>
    </row>
    <row r="1037" spans="3:3">
      <c r="C1037" s="1637" t="s">
        <v>3030</v>
      </c>
    </row>
    <row r="1038" spans="3:3">
      <c r="C1038" s="1637" t="s">
        <v>3031</v>
      </c>
    </row>
    <row r="1039" spans="3:3">
      <c r="C1039" s="1637" t="s">
        <v>3032</v>
      </c>
    </row>
    <row r="1040" spans="3:3">
      <c r="C1040" s="1637" t="s">
        <v>3033</v>
      </c>
    </row>
    <row r="1041" spans="3:3">
      <c r="C1041" s="1637" t="s">
        <v>3034</v>
      </c>
    </row>
    <row r="1042" spans="3:3">
      <c r="C1042" s="1637" t="s">
        <v>3035</v>
      </c>
    </row>
    <row r="1043" spans="3:3">
      <c r="C1043" s="1637" t="s">
        <v>3036</v>
      </c>
    </row>
    <row r="1044" spans="3:3">
      <c r="C1044" s="1637" t="s">
        <v>3037</v>
      </c>
    </row>
    <row r="1045" spans="3:3">
      <c r="C1045" s="1637" t="s">
        <v>3038</v>
      </c>
    </row>
    <row r="1046" spans="3:3">
      <c r="C1046" s="1637" t="s">
        <v>3039</v>
      </c>
    </row>
    <row r="1047" spans="3:3">
      <c r="C1047" s="1637" t="s">
        <v>3040</v>
      </c>
    </row>
    <row r="1048" spans="3:3">
      <c r="C1048" s="1637" t="s">
        <v>3041</v>
      </c>
    </row>
    <row r="1049" spans="3:3">
      <c r="C1049" s="1637" t="s">
        <v>3042</v>
      </c>
    </row>
    <row r="1050" spans="3:3">
      <c r="C1050" s="1630" t="s">
        <v>3043</v>
      </c>
    </row>
    <row r="1051" spans="3:3">
      <c r="C1051" s="1630" t="s">
        <v>3044</v>
      </c>
    </row>
    <row r="1052" spans="3:3">
      <c r="C1052" s="1630" t="s">
        <v>3045</v>
      </c>
    </row>
    <row r="1053" spans="3:3">
      <c r="C1053" s="1630" t="s">
        <v>3046</v>
      </c>
    </row>
    <row r="1054" spans="3:3">
      <c r="C1054" s="1630" t="s">
        <v>3047</v>
      </c>
    </row>
    <row r="1055" spans="3:3">
      <c r="C1055" s="1630" t="s">
        <v>3048</v>
      </c>
    </row>
    <row r="1056" spans="3:3">
      <c r="C1056" s="1630" t="s">
        <v>3049</v>
      </c>
    </row>
    <row r="1057" spans="3:3">
      <c r="C1057" s="1630" t="s">
        <v>3050</v>
      </c>
    </row>
    <row r="1058" spans="3:3">
      <c r="C1058" s="1630" t="s">
        <v>3051</v>
      </c>
    </row>
    <row r="1059" spans="3:3">
      <c r="C1059" s="1630" t="s">
        <v>3052</v>
      </c>
    </row>
    <row r="1060" spans="3:3">
      <c r="C1060" s="1630" t="s">
        <v>3053</v>
      </c>
    </row>
    <row r="1061" spans="3:3">
      <c r="C1061" s="1630" t="s">
        <v>3054</v>
      </c>
    </row>
    <row r="1062" spans="3:3">
      <c r="C1062" s="1630" t="s">
        <v>3055</v>
      </c>
    </row>
    <row r="1063" spans="3:3">
      <c r="C1063" s="1630" t="s">
        <v>3056</v>
      </c>
    </row>
    <row r="1064" spans="3:3">
      <c r="C1064" s="1630" t="s">
        <v>3057</v>
      </c>
    </row>
    <row r="1065" spans="3:3">
      <c r="C1065" s="1630" t="s">
        <v>3058</v>
      </c>
    </row>
    <row r="1066" spans="3:3">
      <c r="C1066" s="1630" t="s">
        <v>3059</v>
      </c>
    </row>
    <row r="1067" spans="3:3">
      <c r="C1067" s="1630" t="s">
        <v>3060</v>
      </c>
    </row>
    <row r="1068" spans="3:3">
      <c r="C1068" s="1630" t="s">
        <v>3061</v>
      </c>
    </row>
    <row r="1069" spans="3:3">
      <c r="C1069" s="1630" t="s">
        <v>3062</v>
      </c>
    </row>
    <row r="1070" spans="3:3">
      <c r="C1070" s="1630" t="s">
        <v>3063</v>
      </c>
    </row>
    <row r="1071" spans="3:3">
      <c r="C1071" s="1630" t="s">
        <v>3064</v>
      </c>
    </row>
    <row r="1072" spans="3:3">
      <c r="C1072" s="1630" t="s">
        <v>3065</v>
      </c>
    </row>
    <row r="1073" spans="3:3">
      <c r="C1073" s="1630" t="s">
        <v>3066</v>
      </c>
    </row>
    <row r="1074" spans="3:3">
      <c r="C1074" s="1630" t="s">
        <v>3067</v>
      </c>
    </row>
    <row r="1075" spans="3:3">
      <c r="C1075" s="1630" t="s">
        <v>3068</v>
      </c>
    </row>
    <row r="1076" spans="3:3">
      <c r="C1076" s="1630" t="s">
        <v>3069</v>
      </c>
    </row>
    <row r="1077" spans="3:3">
      <c r="C1077" s="1630" t="s">
        <v>3070</v>
      </c>
    </row>
    <row r="1078" spans="3:3">
      <c r="C1078" s="1630" t="s">
        <v>3071</v>
      </c>
    </row>
    <row r="1079" spans="3:3">
      <c r="C1079" s="1630" t="s">
        <v>3072</v>
      </c>
    </row>
    <row r="1080" spans="3:3">
      <c r="C1080" s="1630" t="s">
        <v>3073</v>
      </c>
    </row>
    <row r="1081" spans="3:3">
      <c r="C1081" s="1630" t="s">
        <v>3074</v>
      </c>
    </row>
    <row r="1082" spans="3:3">
      <c r="C1082" s="1630" t="s">
        <v>3075</v>
      </c>
    </row>
    <row r="1083" spans="3:3">
      <c r="C1083" s="1630" t="s">
        <v>3076</v>
      </c>
    </row>
    <row r="1084" spans="3:3">
      <c r="C1084" s="1630" t="s">
        <v>3077</v>
      </c>
    </row>
    <row r="1085" spans="3:3">
      <c r="C1085" s="1630" t="s">
        <v>3078</v>
      </c>
    </row>
    <row r="1086" spans="3:3">
      <c r="C1086" s="1630" t="s">
        <v>3079</v>
      </c>
    </row>
    <row r="1087" spans="3:3">
      <c r="C1087" s="1630" t="s">
        <v>3080</v>
      </c>
    </row>
    <row r="1088" spans="3:3">
      <c r="C1088" s="1630" t="s">
        <v>3081</v>
      </c>
    </row>
    <row r="1089" spans="3:3">
      <c r="C1089" s="1630" t="s">
        <v>3082</v>
      </c>
    </row>
    <row r="1090" spans="3:3">
      <c r="C1090" s="1630" t="s">
        <v>3083</v>
      </c>
    </row>
    <row r="1091" spans="3:3">
      <c r="C1091" s="1630" t="s">
        <v>3084</v>
      </c>
    </row>
    <row r="1092" spans="3:3">
      <c r="C1092" s="1630" t="s">
        <v>3085</v>
      </c>
    </row>
    <row r="1093" spans="3:3">
      <c r="C1093" s="1630" t="s">
        <v>3086</v>
      </c>
    </row>
    <row r="1094" spans="3:3">
      <c r="C1094" s="1630" t="s">
        <v>3087</v>
      </c>
    </row>
    <row r="1095" spans="3:3">
      <c r="C1095" s="1630" t="s">
        <v>3088</v>
      </c>
    </row>
    <row r="1096" spans="3:3">
      <c r="C1096" s="1630" t="s">
        <v>3089</v>
      </c>
    </row>
    <row r="1097" spans="3:3">
      <c r="C1097" s="1630" t="s">
        <v>3090</v>
      </c>
    </row>
    <row r="1098" spans="3:3">
      <c r="C1098" s="1630" t="s">
        <v>3091</v>
      </c>
    </row>
    <row r="1099" spans="3:3">
      <c r="C1099" s="1630" t="s">
        <v>3092</v>
      </c>
    </row>
    <row r="1100" spans="3:3">
      <c r="C1100" s="1630" t="s">
        <v>3093</v>
      </c>
    </row>
    <row r="1101" spans="3:3">
      <c r="C1101" s="1630" t="s">
        <v>3094</v>
      </c>
    </row>
    <row r="1102" spans="3:3">
      <c r="C1102" s="1630" t="s">
        <v>3095</v>
      </c>
    </row>
    <row r="1103" spans="3:3">
      <c r="C1103" s="1630" t="s">
        <v>3096</v>
      </c>
    </row>
    <row r="1104" spans="3:3">
      <c r="C1104" s="1630" t="s">
        <v>3097</v>
      </c>
    </row>
    <row r="1105" spans="3:3">
      <c r="C1105" s="1630" t="s">
        <v>3098</v>
      </c>
    </row>
    <row r="1106" spans="3:3">
      <c r="C1106" s="1630" t="s">
        <v>3099</v>
      </c>
    </row>
    <row r="1107" spans="3:3">
      <c r="C1107" s="1630" t="s">
        <v>3100</v>
      </c>
    </row>
    <row r="1108" spans="3:3">
      <c r="C1108" s="1630" t="s">
        <v>3101</v>
      </c>
    </row>
    <row r="1109" spans="3:3">
      <c r="C1109" s="1630" t="s">
        <v>3102</v>
      </c>
    </row>
    <row r="1110" spans="3:3">
      <c r="C1110" s="1630" t="s">
        <v>3103</v>
      </c>
    </row>
    <row r="1111" spans="3:3">
      <c r="C1111" s="1630" t="s">
        <v>3104</v>
      </c>
    </row>
    <row r="1112" spans="3:3">
      <c r="C1112" s="1630" t="s">
        <v>3105</v>
      </c>
    </row>
    <row r="1113" spans="3:3">
      <c r="C1113" s="1630" t="s">
        <v>3106</v>
      </c>
    </row>
    <row r="1114" spans="3:3">
      <c r="C1114" s="1630" t="s">
        <v>3107</v>
      </c>
    </row>
    <row r="1115" spans="3:3">
      <c r="C1115" s="1630" t="s">
        <v>3108</v>
      </c>
    </row>
    <row r="1116" spans="3:3">
      <c r="C1116" s="1630" t="s">
        <v>3109</v>
      </c>
    </row>
    <row r="1117" spans="3:3">
      <c r="C1117" s="1630" t="s">
        <v>3110</v>
      </c>
    </row>
    <row r="1118" spans="3:3">
      <c r="C1118" s="1630" t="s">
        <v>3111</v>
      </c>
    </row>
    <row r="1119" spans="3:3">
      <c r="C1119" s="1630" t="s">
        <v>3112</v>
      </c>
    </row>
    <row r="1120" spans="3:3">
      <c r="C1120" s="1630" t="s">
        <v>3113</v>
      </c>
    </row>
    <row r="1121" spans="3:3">
      <c r="C1121" s="1630" t="s">
        <v>3114</v>
      </c>
    </row>
    <row r="1122" spans="3:3">
      <c r="C1122" s="1630" t="s">
        <v>3115</v>
      </c>
    </row>
    <row r="1123" spans="3:3">
      <c r="C1123" s="1630" t="s">
        <v>3116</v>
      </c>
    </row>
    <row r="1124" spans="3:3">
      <c r="C1124" s="1630" t="s">
        <v>3117</v>
      </c>
    </row>
    <row r="1125" spans="3:3">
      <c r="C1125" s="1630" t="s">
        <v>3118</v>
      </c>
    </row>
    <row r="1126" spans="3:3">
      <c r="C1126" s="1630" t="s">
        <v>3119</v>
      </c>
    </row>
    <row r="1127" spans="3:3">
      <c r="C1127" s="1630" t="s">
        <v>3120</v>
      </c>
    </row>
    <row r="1128" spans="3:3">
      <c r="C1128" s="1630" t="s">
        <v>3121</v>
      </c>
    </row>
    <row r="1129" spans="3:3">
      <c r="C1129" s="1630" t="s">
        <v>3122</v>
      </c>
    </row>
    <row r="1130" spans="3:3">
      <c r="C1130" s="1630" t="s">
        <v>3123</v>
      </c>
    </row>
    <row r="1131" spans="3:3">
      <c r="C1131" s="1630" t="s">
        <v>3124</v>
      </c>
    </row>
    <row r="1132" spans="3:3">
      <c r="C1132" s="1630" t="s">
        <v>3125</v>
      </c>
    </row>
    <row r="1133" spans="3:3">
      <c r="C1133" s="1630" t="s">
        <v>3126</v>
      </c>
    </row>
    <row r="1134" spans="3:3">
      <c r="C1134" s="1630" t="s">
        <v>3127</v>
      </c>
    </row>
    <row r="1135" spans="3:3">
      <c r="C1135" s="1630" t="s">
        <v>3128</v>
      </c>
    </row>
    <row r="1136" spans="3:3">
      <c r="C1136" s="1630" t="s">
        <v>3129</v>
      </c>
    </row>
    <row r="1137" spans="3:3">
      <c r="C1137" s="1630" t="s">
        <v>3130</v>
      </c>
    </row>
    <row r="1138" spans="3:3">
      <c r="C1138" s="1630" t="s">
        <v>3131</v>
      </c>
    </row>
    <row r="1139" spans="3:3">
      <c r="C1139" s="1630" t="s">
        <v>3132</v>
      </c>
    </row>
    <row r="1140" spans="3:3">
      <c r="C1140" s="1630" t="s">
        <v>3133</v>
      </c>
    </row>
    <row r="1141" spans="3:3">
      <c r="C1141" s="1630" t="s">
        <v>3134</v>
      </c>
    </row>
    <row r="1142" spans="3:3">
      <c r="C1142" s="1630" t="s">
        <v>3135</v>
      </c>
    </row>
    <row r="1143" spans="3:3">
      <c r="C1143" s="1630" t="s">
        <v>3136</v>
      </c>
    </row>
    <row r="1144" spans="3:3">
      <c r="C1144" s="1630" t="s">
        <v>3137</v>
      </c>
    </row>
    <row r="1145" spans="3:3">
      <c r="C1145" s="1630" t="s">
        <v>3138</v>
      </c>
    </row>
    <row r="1146" spans="3:3">
      <c r="C1146" s="1630" t="s">
        <v>3139</v>
      </c>
    </row>
    <row r="1147" spans="3:3">
      <c r="C1147" s="1630" t="s">
        <v>3140</v>
      </c>
    </row>
    <row r="1148" spans="3:3">
      <c r="C1148" s="1630" t="s">
        <v>3141</v>
      </c>
    </row>
    <row r="1149" spans="3:3">
      <c r="C1149" s="1630" t="s">
        <v>3142</v>
      </c>
    </row>
    <row r="1150" spans="3:3">
      <c r="C1150" s="1630" t="s">
        <v>3143</v>
      </c>
    </row>
    <row r="1151" spans="3:3">
      <c r="C1151" s="1630" t="s">
        <v>3144</v>
      </c>
    </row>
    <row r="1152" spans="3:3">
      <c r="C1152" s="1630" t="s">
        <v>3145</v>
      </c>
    </row>
    <row r="1153" spans="3:3">
      <c r="C1153" s="1630" t="s">
        <v>3146</v>
      </c>
    </row>
    <row r="1154" spans="3:3">
      <c r="C1154" s="1630" t="s">
        <v>3147</v>
      </c>
    </row>
    <row r="1155" spans="3:3">
      <c r="C1155" s="1630" t="s">
        <v>3148</v>
      </c>
    </row>
    <row r="1156" spans="3:3">
      <c r="C1156" s="1630" t="s">
        <v>3149</v>
      </c>
    </row>
    <row r="1157" spans="3:3">
      <c r="C1157" s="1630" t="s">
        <v>3150</v>
      </c>
    </row>
    <row r="1158" spans="3:3">
      <c r="C1158" s="1630" t="s">
        <v>3151</v>
      </c>
    </row>
    <row r="1159" spans="3:3">
      <c r="C1159" s="1630" t="s">
        <v>3152</v>
      </c>
    </row>
    <row r="1160" spans="3:3">
      <c r="C1160" s="1630" t="s">
        <v>3153</v>
      </c>
    </row>
    <row r="1161" spans="3:3">
      <c r="C1161" s="1630" t="s">
        <v>3154</v>
      </c>
    </row>
    <row r="1162" spans="3:3">
      <c r="C1162" s="1630" t="s">
        <v>3155</v>
      </c>
    </row>
    <row r="1163" spans="3:3">
      <c r="C1163" s="1630" t="s">
        <v>3156</v>
      </c>
    </row>
    <row r="1164" spans="3:3">
      <c r="C1164" s="1630" t="s">
        <v>3157</v>
      </c>
    </row>
    <row r="1165" spans="3:3">
      <c r="C1165" s="1630" t="s">
        <v>3158</v>
      </c>
    </row>
    <row r="1166" spans="3:3">
      <c r="C1166" s="1630" t="s">
        <v>3159</v>
      </c>
    </row>
    <row r="1167" spans="3:3">
      <c r="C1167" s="1630" t="s">
        <v>3160</v>
      </c>
    </row>
    <row r="1168" spans="3:3">
      <c r="C1168" s="1630" t="s">
        <v>3161</v>
      </c>
    </row>
    <row r="1169" spans="3:3">
      <c r="C1169" s="1630" t="s">
        <v>3162</v>
      </c>
    </row>
    <row r="1170" spans="3:3">
      <c r="C1170" s="1630" t="s">
        <v>3163</v>
      </c>
    </row>
    <row r="1171" spans="3:3">
      <c r="C1171" s="1630" t="s">
        <v>3164</v>
      </c>
    </row>
    <row r="1172" spans="3:3">
      <c r="C1172" s="1630" t="s">
        <v>3165</v>
      </c>
    </row>
    <row r="1173" spans="3:3">
      <c r="C1173" s="1630" t="s">
        <v>3166</v>
      </c>
    </row>
    <row r="1174" spans="3:3">
      <c r="C1174" s="1630" t="s">
        <v>3167</v>
      </c>
    </row>
    <row r="1175" spans="3:3">
      <c r="C1175" s="1630" t="s">
        <v>3168</v>
      </c>
    </row>
    <row r="1176" spans="3:3">
      <c r="C1176" s="1630" t="s">
        <v>3169</v>
      </c>
    </row>
    <row r="1177" spans="3:3">
      <c r="C1177" s="1630" t="s">
        <v>3170</v>
      </c>
    </row>
    <row r="1178" spans="3:3">
      <c r="C1178" s="1630" t="s">
        <v>3171</v>
      </c>
    </row>
    <row r="1179" spans="3:3">
      <c r="C1179" s="1630" t="s">
        <v>3172</v>
      </c>
    </row>
    <row r="1180" spans="3:3">
      <c r="C1180" s="1630" t="s">
        <v>3173</v>
      </c>
    </row>
    <row r="1181" spans="3:3">
      <c r="C1181" s="1630" t="s">
        <v>3174</v>
      </c>
    </row>
    <row r="1182" spans="3:3">
      <c r="C1182" s="1630" t="s">
        <v>3175</v>
      </c>
    </row>
    <row r="1183" spans="3:3">
      <c r="C1183" s="1630" t="s">
        <v>3176</v>
      </c>
    </row>
    <row r="1184" spans="3:3">
      <c r="C1184" s="1630" t="s">
        <v>3177</v>
      </c>
    </row>
    <row r="1185" spans="3:3">
      <c r="C1185" s="1630" t="s">
        <v>3178</v>
      </c>
    </row>
    <row r="1186" spans="3:3">
      <c r="C1186" s="1630" t="s">
        <v>3179</v>
      </c>
    </row>
    <row r="1187" spans="3:3">
      <c r="C1187" s="1630" t="s">
        <v>3180</v>
      </c>
    </row>
    <row r="1188" spans="3:3">
      <c r="C1188" s="1630" t="s">
        <v>3181</v>
      </c>
    </row>
    <row r="1189" spans="3:3">
      <c r="C1189" s="1630" t="s">
        <v>3182</v>
      </c>
    </row>
    <row r="1190" spans="3:3">
      <c r="C1190" s="1630" t="s">
        <v>3183</v>
      </c>
    </row>
    <row r="1191" spans="3:3">
      <c r="C1191" s="1630" t="s">
        <v>3184</v>
      </c>
    </row>
    <row r="1192" spans="3:3">
      <c r="C1192" s="1630" t="s">
        <v>3185</v>
      </c>
    </row>
    <row r="1193" spans="3:3">
      <c r="C1193" s="1630" t="s">
        <v>3186</v>
      </c>
    </row>
    <row r="1194" spans="3:3">
      <c r="C1194" s="1630" t="s">
        <v>3187</v>
      </c>
    </row>
    <row r="1195" spans="3:3">
      <c r="C1195" s="1630" t="s">
        <v>3188</v>
      </c>
    </row>
    <row r="1196" spans="3:3">
      <c r="C1196" s="1630" t="s">
        <v>3189</v>
      </c>
    </row>
    <row r="1197" spans="3:3">
      <c r="C1197" s="1630" t="s">
        <v>3190</v>
      </c>
    </row>
    <row r="1198" spans="3:3">
      <c r="C1198" s="1630" t="s">
        <v>3191</v>
      </c>
    </row>
    <row r="1199" spans="3:3">
      <c r="C1199" s="1630" t="s">
        <v>3192</v>
      </c>
    </row>
    <row r="1200" spans="3:3">
      <c r="C1200" s="1630" t="s">
        <v>3193</v>
      </c>
    </row>
    <row r="1201" spans="3:3">
      <c r="C1201" s="1630" t="s">
        <v>3194</v>
      </c>
    </row>
    <row r="1202" spans="3:3">
      <c r="C1202" s="1630" t="s">
        <v>3195</v>
      </c>
    </row>
    <row r="1203" spans="3:3">
      <c r="C1203" s="1630" t="s">
        <v>3196</v>
      </c>
    </row>
    <row r="1204" spans="3:3">
      <c r="C1204" s="1630" t="s">
        <v>3197</v>
      </c>
    </row>
    <row r="1205" spans="3:3">
      <c r="C1205" s="1630" t="s">
        <v>3198</v>
      </c>
    </row>
    <row r="1206" spans="3:3">
      <c r="C1206" s="1630" t="s">
        <v>3199</v>
      </c>
    </row>
    <row r="1207" spans="3:3">
      <c r="C1207" s="1630" t="s">
        <v>3200</v>
      </c>
    </row>
    <row r="1208" spans="3:3">
      <c r="C1208" s="1630" t="s">
        <v>3201</v>
      </c>
    </row>
    <row r="1209" spans="3:3">
      <c r="C1209" s="1630" t="s">
        <v>3202</v>
      </c>
    </row>
    <row r="1210" spans="3:3">
      <c r="C1210" s="1630" t="s">
        <v>3203</v>
      </c>
    </row>
    <row r="1211" spans="3:3">
      <c r="C1211" s="1630" t="s">
        <v>3204</v>
      </c>
    </row>
    <row r="1212" spans="3:3">
      <c r="C1212" s="1630" t="s">
        <v>3205</v>
      </c>
    </row>
    <row r="1213" spans="3:3">
      <c r="C1213" s="1630" t="s">
        <v>3206</v>
      </c>
    </row>
    <row r="1214" spans="3:3">
      <c r="C1214" s="1630" t="s">
        <v>3207</v>
      </c>
    </row>
    <row r="1215" spans="3:3">
      <c r="C1215" s="1630" t="s">
        <v>3208</v>
      </c>
    </row>
    <row r="1216" spans="3:3">
      <c r="C1216" s="1630" t="s">
        <v>3209</v>
      </c>
    </row>
    <row r="1217" spans="3:3">
      <c r="C1217" s="1630" t="s">
        <v>3210</v>
      </c>
    </row>
    <row r="1218" spans="3:3">
      <c r="C1218" s="1630" t="s">
        <v>3211</v>
      </c>
    </row>
    <row r="1219" spans="3:3">
      <c r="C1219" s="1630" t="s">
        <v>3212</v>
      </c>
    </row>
    <row r="1220" spans="3:3">
      <c r="C1220" s="1630" t="s">
        <v>3213</v>
      </c>
    </row>
    <row r="1221" spans="3:3">
      <c r="C1221" s="1630" t="s">
        <v>3214</v>
      </c>
    </row>
    <row r="1222" spans="3:3">
      <c r="C1222" s="1630" t="s">
        <v>3215</v>
      </c>
    </row>
    <row r="1223" spans="3:3">
      <c r="C1223" s="1630" t="s">
        <v>3216</v>
      </c>
    </row>
    <row r="1224" spans="3:3">
      <c r="C1224" s="1630" t="s">
        <v>3217</v>
      </c>
    </row>
    <row r="1225" spans="3:3">
      <c r="C1225" s="1630" t="s">
        <v>3218</v>
      </c>
    </row>
    <row r="1226" spans="3:3">
      <c r="C1226" s="1630" t="s">
        <v>3219</v>
      </c>
    </row>
    <row r="1227" spans="3:3">
      <c r="C1227" s="1630" t="s">
        <v>3220</v>
      </c>
    </row>
    <row r="1228" spans="3:3">
      <c r="C1228" s="1630" t="s">
        <v>3221</v>
      </c>
    </row>
    <row r="1229" spans="3:3">
      <c r="C1229" s="1630" t="s">
        <v>3222</v>
      </c>
    </row>
    <row r="1230" spans="3:3">
      <c r="C1230" s="1630" t="s">
        <v>3223</v>
      </c>
    </row>
    <row r="1231" spans="3:3">
      <c r="C1231" s="1630" t="s">
        <v>3224</v>
      </c>
    </row>
    <row r="1232" spans="3:3">
      <c r="C1232" s="1630" t="s">
        <v>3225</v>
      </c>
    </row>
    <row r="1233" spans="3:3">
      <c r="C1233" s="1630" t="s">
        <v>3226</v>
      </c>
    </row>
    <row r="1234" spans="3:3">
      <c r="C1234" s="1630" t="s">
        <v>3227</v>
      </c>
    </row>
    <row r="1235" spans="3:3">
      <c r="C1235" s="1630" t="s">
        <v>3228</v>
      </c>
    </row>
    <row r="1236" spans="3:3">
      <c r="C1236" s="1630" t="s">
        <v>3229</v>
      </c>
    </row>
    <row r="1237" spans="3:3">
      <c r="C1237" s="1630" t="s">
        <v>3230</v>
      </c>
    </row>
    <row r="1238" spans="3:3">
      <c r="C1238" s="1630" t="s">
        <v>3231</v>
      </c>
    </row>
    <row r="1239" spans="3:3">
      <c r="C1239" s="1630" t="s">
        <v>3232</v>
      </c>
    </row>
    <row r="1240" spans="3:3">
      <c r="C1240" s="1630" t="s">
        <v>3233</v>
      </c>
    </row>
    <row r="1241" spans="3:3">
      <c r="C1241" s="1630" t="s">
        <v>3234</v>
      </c>
    </row>
    <row r="1242" spans="3:3">
      <c r="C1242" s="1630" t="s">
        <v>3235</v>
      </c>
    </row>
    <row r="1243" spans="3:3">
      <c r="C1243" s="1630" t="s">
        <v>3236</v>
      </c>
    </row>
    <row r="1244" spans="3:3">
      <c r="C1244" s="1630" t="s">
        <v>3237</v>
      </c>
    </row>
    <row r="1245" spans="3:3">
      <c r="C1245" s="1630" t="s">
        <v>3238</v>
      </c>
    </row>
    <row r="1246" spans="3:3">
      <c r="C1246" s="1630" t="s">
        <v>3239</v>
      </c>
    </row>
    <row r="1247" spans="3:3">
      <c r="C1247" s="1630" t="s">
        <v>3240</v>
      </c>
    </row>
    <row r="1248" spans="3:3">
      <c r="C1248" s="1630" t="s">
        <v>3241</v>
      </c>
    </row>
    <row r="1249" spans="3:3">
      <c r="C1249" s="1630" t="s">
        <v>3242</v>
      </c>
    </row>
    <row r="1250" spans="3:3">
      <c r="C1250" s="1630" t="s">
        <v>3243</v>
      </c>
    </row>
    <row r="1251" spans="3:3">
      <c r="C1251" s="1630" t="s">
        <v>3244</v>
      </c>
    </row>
    <row r="1252" spans="3:3">
      <c r="C1252" s="1630" t="s">
        <v>3245</v>
      </c>
    </row>
    <row r="1253" spans="3:3">
      <c r="C1253" s="1630" t="s">
        <v>3246</v>
      </c>
    </row>
    <row r="1254" spans="3:3">
      <c r="C1254" s="1630" t="s">
        <v>3247</v>
      </c>
    </row>
    <row r="1255" spans="3:3">
      <c r="C1255" s="1630" t="s">
        <v>3248</v>
      </c>
    </row>
    <row r="1256" spans="3:3">
      <c r="C1256" s="1630" t="s">
        <v>3249</v>
      </c>
    </row>
    <row r="1257" spans="3:3">
      <c r="C1257" s="1630" t="s">
        <v>3250</v>
      </c>
    </row>
    <row r="1258" spans="3:3">
      <c r="C1258" s="1630" t="s">
        <v>3251</v>
      </c>
    </row>
    <row r="1259" spans="3:3">
      <c r="C1259" s="1630" t="s">
        <v>3252</v>
      </c>
    </row>
    <row r="1260" spans="3:3">
      <c r="C1260" s="1630" t="s">
        <v>3253</v>
      </c>
    </row>
    <row r="1261" spans="3:3">
      <c r="C1261" s="1630" t="s">
        <v>3254</v>
      </c>
    </row>
    <row r="1262" spans="3:3">
      <c r="C1262" s="1630" t="s">
        <v>3255</v>
      </c>
    </row>
    <row r="1263" spans="3:3">
      <c r="C1263" s="1630" t="s">
        <v>3256</v>
      </c>
    </row>
    <row r="1264" spans="3:3">
      <c r="C1264" s="1630" t="s">
        <v>3257</v>
      </c>
    </row>
    <row r="1265" spans="3:3">
      <c r="C1265" s="1630" t="s">
        <v>3258</v>
      </c>
    </row>
    <row r="1266" spans="3:3">
      <c r="C1266" s="1630" t="s">
        <v>3259</v>
      </c>
    </row>
    <row r="1267" spans="3:3">
      <c r="C1267" s="1630" t="s">
        <v>3260</v>
      </c>
    </row>
    <row r="1268" spans="3:3">
      <c r="C1268" s="1630" t="s">
        <v>3261</v>
      </c>
    </row>
    <row r="1269" spans="3:3">
      <c r="C1269" s="1630" t="s">
        <v>3262</v>
      </c>
    </row>
    <row r="1270" spans="3:3">
      <c r="C1270" s="1630" t="s">
        <v>3263</v>
      </c>
    </row>
    <row r="1271" spans="3:3">
      <c r="C1271" s="1630" t="s">
        <v>3264</v>
      </c>
    </row>
    <row r="1272" spans="3:3">
      <c r="C1272" s="1630" t="s">
        <v>3265</v>
      </c>
    </row>
    <row r="1273" spans="3:3">
      <c r="C1273" s="1630" t="s">
        <v>3266</v>
      </c>
    </row>
    <row r="1274" spans="3:3">
      <c r="C1274" s="1630" t="s">
        <v>3267</v>
      </c>
    </row>
    <row r="1275" spans="3:3">
      <c r="C1275" s="1630" t="s">
        <v>3268</v>
      </c>
    </row>
    <row r="1276" spans="3:3">
      <c r="C1276" s="1630" t="s">
        <v>3269</v>
      </c>
    </row>
    <row r="1277" spans="3:3">
      <c r="C1277" s="1630" t="s">
        <v>3270</v>
      </c>
    </row>
    <row r="1278" spans="3:3">
      <c r="C1278" s="1630" t="s">
        <v>3271</v>
      </c>
    </row>
    <row r="1279" spans="3:3">
      <c r="C1279" s="1630" t="s">
        <v>3272</v>
      </c>
    </row>
    <row r="1280" spans="3:3">
      <c r="C1280" s="1630" t="s">
        <v>3273</v>
      </c>
    </row>
    <row r="1281" spans="3:3">
      <c r="C1281" s="1630" t="s">
        <v>3274</v>
      </c>
    </row>
    <row r="1282" spans="3:3">
      <c r="C1282" s="1630" t="s">
        <v>3275</v>
      </c>
    </row>
    <row r="1283" spans="3:3">
      <c r="C1283" s="1630" t="s">
        <v>3276</v>
      </c>
    </row>
    <row r="1284" spans="3:3">
      <c r="C1284" s="1630" t="s">
        <v>3277</v>
      </c>
    </row>
    <row r="1285" spans="3:3">
      <c r="C1285" s="1630" t="s">
        <v>3278</v>
      </c>
    </row>
    <row r="1286" spans="3:3">
      <c r="C1286" s="1630" t="s">
        <v>3279</v>
      </c>
    </row>
    <row r="1287" spans="3:3">
      <c r="C1287" s="1630" t="s">
        <v>3280</v>
      </c>
    </row>
    <row r="1288" spans="3:3">
      <c r="C1288" s="1630" t="s">
        <v>3281</v>
      </c>
    </row>
    <row r="1289" spans="3:3">
      <c r="C1289" s="1630" t="s">
        <v>3282</v>
      </c>
    </row>
    <row r="1290" spans="3:3">
      <c r="C1290" s="1630" t="s">
        <v>3283</v>
      </c>
    </row>
    <row r="1291" spans="3:3">
      <c r="C1291" s="1630" t="s">
        <v>3284</v>
      </c>
    </row>
    <row r="1292" spans="3:3">
      <c r="C1292" s="1630" t="s">
        <v>3285</v>
      </c>
    </row>
    <row r="1293" spans="3:3">
      <c r="C1293" s="1630" t="s">
        <v>3286</v>
      </c>
    </row>
    <row r="1294" spans="3:3">
      <c r="C1294" s="1630" t="s">
        <v>3287</v>
      </c>
    </row>
    <row r="1295" spans="3:3">
      <c r="C1295" s="1630" t="s">
        <v>3288</v>
      </c>
    </row>
    <row r="1296" spans="3:3">
      <c r="C1296" s="1630" t="s">
        <v>3289</v>
      </c>
    </row>
    <row r="1297" spans="3:3">
      <c r="C1297" s="1630" t="s">
        <v>3290</v>
      </c>
    </row>
    <row r="1298" spans="3:3">
      <c r="C1298" s="1630" t="s">
        <v>3291</v>
      </c>
    </row>
    <row r="1299" spans="3:3">
      <c r="C1299" s="1630" t="s">
        <v>3292</v>
      </c>
    </row>
    <row r="1300" spans="3:3">
      <c r="C1300" s="1630" t="s">
        <v>3293</v>
      </c>
    </row>
    <row r="1301" spans="3:3">
      <c r="C1301" s="1630" t="s">
        <v>3294</v>
      </c>
    </row>
    <row r="1302" spans="3:3">
      <c r="C1302" s="1630" t="s">
        <v>3295</v>
      </c>
    </row>
    <row r="1303" spans="3:3">
      <c r="C1303" s="1630" t="s">
        <v>3296</v>
      </c>
    </row>
    <row r="1304" spans="3:3">
      <c r="C1304" s="1630" t="s">
        <v>3297</v>
      </c>
    </row>
    <row r="1305" spans="3:3">
      <c r="C1305" s="1630" t="s">
        <v>3298</v>
      </c>
    </row>
    <row r="1306" spans="3:3">
      <c r="C1306" s="1630" t="s">
        <v>3299</v>
      </c>
    </row>
    <row r="1307" spans="3:3">
      <c r="C1307" s="1630" t="s">
        <v>3300</v>
      </c>
    </row>
    <row r="1308" spans="3:3">
      <c r="C1308" s="1630" t="s">
        <v>3301</v>
      </c>
    </row>
    <row r="1309" spans="3:3">
      <c r="C1309" s="1630" t="s">
        <v>3302</v>
      </c>
    </row>
    <row r="1310" spans="3:3">
      <c r="C1310" s="1630" t="s">
        <v>3303</v>
      </c>
    </row>
    <row r="1311" spans="3:3">
      <c r="C1311" s="1630" t="s">
        <v>3304</v>
      </c>
    </row>
    <row r="1312" spans="3:3">
      <c r="C1312" s="1630" t="s">
        <v>3305</v>
      </c>
    </row>
    <row r="1313" spans="3:3">
      <c r="C1313" s="1630" t="s">
        <v>3306</v>
      </c>
    </row>
    <row r="1314" spans="3:3">
      <c r="C1314" s="1630" t="s">
        <v>3307</v>
      </c>
    </row>
    <row r="1315" spans="3:3">
      <c r="C1315" s="1630" t="s">
        <v>3308</v>
      </c>
    </row>
    <row r="1316" spans="3:3">
      <c r="C1316" s="1630" t="s">
        <v>3309</v>
      </c>
    </row>
    <row r="1317" spans="3:3">
      <c r="C1317" s="1630" t="s">
        <v>3310</v>
      </c>
    </row>
    <row r="1318" spans="3:3">
      <c r="C1318" s="1630" t="s">
        <v>3311</v>
      </c>
    </row>
    <row r="1319" spans="3:3">
      <c r="C1319" s="1630" t="s">
        <v>3312</v>
      </c>
    </row>
    <row r="1320" spans="3:3">
      <c r="C1320" s="1630" t="s">
        <v>3313</v>
      </c>
    </row>
    <row r="1321" spans="3:3">
      <c r="C1321" s="1630" t="s">
        <v>3314</v>
      </c>
    </row>
    <row r="1322" spans="3:3">
      <c r="C1322" s="1630" t="s">
        <v>3315</v>
      </c>
    </row>
    <row r="1323" spans="3:3">
      <c r="C1323" s="1630" t="s">
        <v>3316</v>
      </c>
    </row>
    <row r="1324" spans="3:3">
      <c r="C1324" s="1630" t="s">
        <v>3317</v>
      </c>
    </row>
    <row r="1325" spans="3:3">
      <c r="C1325" s="1630" t="s">
        <v>3318</v>
      </c>
    </row>
    <row r="1326" spans="3:3">
      <c r="C1326" s="1630" t="s">
        <v>3319</v>
      </c>
    </row>
    <row r="1327" spans="3:3">
      <c r="C1327" s="1630" t="s">
        <v>3320</v>
      </c>
    </row>
    <row r="1328" spans="3:3">
      <c r="C1328" s="1630" t="s">
        <v>3321</v>
      </c>
    </row>
    <row r="1329" spans="3:3">
      <c r="C1329" s="1630" t="s">
        <v>3322</v>
      </c>
    </row>
    <row r="1330" spans="3:3">
      <c r="C1330" s="1630" t="s">
        <v>3323</v>
      </c>
    </row>
    <row r="1331" spans="3:3">
      <c r="C1331" s="1630" t="s">
        <v>3324</v>
      </c>
    </row>
    <row r="1332" spans="3:3">
      <c r="C1332" s="1630" t="s">
        <v>3325</v>
      </c>
    </row>
    <row r="1333" spans="3:3">
      <c r="C1333" s="1630" t="s">
        <v>3326</v>
      </c>
    </row>
    <row r="1334" spans="3:3">
      <c r="C1334" s="1630" t="s">
        <v>3327</v>
      </c>
    </row>
    <row r="1335" spans="3:3">
      <c r="C1335" s="1630" t="s">
        <v>3328</v>
      </c>
    </row>
    <row r="1336" spans="3:3">
      <c r="C1336" s="1630" t="s">
        <v>3329</v>
      </c>
    </row>
    <row r="1337" spans="3:3">
      <c r="C1337" s="1630" t="s">
        <v>3330</v>
      </c>
    </row>
    <row r="1338" spans="3:3">
      <c r="C1338" s="1630" t="s">
        <v>3331</v>
      </c>
    </row>
    <row r="1339" spans="3:3">
      <c r="C1339" s="1630" t="s">
        <v>3332</v>
      </c>
    </row>
    <row r="1340" spans="3:3">
      <c r="C1340" s="1630" t="s">
        <v>3333</v>
      </c>
    </row>
    <row r="1341" spans="3:3">
      <c r="C1341" s="1630" t="s">
        <v>3334</v>
      </c>
    </row>
    <row r="1342" spans="3:3">
      <c r="C1342" s="1630" t="s">
        <v>3335</v>
      </c>
    </row>
    <row r="1343" spans="3:3">
      <c r="C1343" s="1630" t="s">
        <v>3336</v>
      </c>
    </row>
    <row r="1344" spans="3:3">
      <c r="C1344" s="1630" t="s">
        <v>3337</v>
      </c>
    </row>
    <row r="1345" spans="3:3">
      <c r="C1345" s="1630" t="s">
        <v>3338</v>
      </c>
    </row>
    <row r="1346" spans="3:3">
      <c r="C1346" s="1630" t="s">
        <v>3339</v>
      </c>
    </row>
    <row r="1347" spans="3:3">
      <c r="C1347" s="1630" t="s">
        <v>3340</v>
      </c>
    </row>
    <row r="1348" spans="3:3">
      <c r="C1348" s="1630" t="s">
        <v>3341</v>
      </c>
    </row>
    <row r="1349" spans="3:3">
      <c r="C1349" s="1630" t="s">
        <v>3342</v>
      </c>
    </row>
    <row r="1350" spans="3:3">
      <c r="C1350" s="1630" t="s">
        <v>3343</v>
      </c>
    </row>
    <row r="1351" spans="3:3">
      <c r="C1351" s="1630" t="s">
        <v>3344</v>
      </c>
    </row>
    <row r="1352" spans="3:3">
      <c r="C1352" s="1630" t="s">
        <v>3345</v>
      </c>
    </row>
    <row r="1353" spans="3:3">
      <c r="C1353" s="1630" t="s">
        <v>3346</v>
      </c>
    </row>
    <row r="1354" spans="3:3">
      <c r="C1354" s="1630" t="s">
        <v>3347</v>
      </c>
    </row>
    <row r="1355" spans="3:3">
      <c r="C1355" s="1630" t="s">
        <v>3348</v>
      </c>
    </row>
    <row r="1356" spans="3:3">
      <c r="C1356" s="1630" t="s">
        <v>3349</v>
      </c>
    </row>
    <row r="1357" spans="3:3">
      <c r="C1357" s="1630" t="s">
        <v>3350</v>
      </c>
    </row>
    <row r="1358" spans="3:3">
      <c r="C1358" s="1630" t="s">
        <v>3351</v>
      </c>
    </row>
    <row r="1359" spans="3:3">
      <c r="C1359" s="1630" t="s">
        <v>3352</v>
      </c>
    </row>
    <row r="1360" spans="3:3">
      <c r="C1360" s="1630" t="s">
        <v>3353</v>
      </c>
    </row>
    <row r="1361" spans="3:3">
      <c r="C1361" s="1630" t="s">
        <v>3354</v>
      </c>
    </row>
    <row r="1362" spans="3:3">
      <c r="C1362" s="1630" t="s">
        <v>3355</v>
      </c>
    </row>
    <row r="1363" spans="3:3">
      <c r="C1363" s="1630" t="s">
        <v>3356</v>
      </c>
    </row>
    <row r="1364" spans="3:3">
      <c r="C1364" s="1630" t="s">
        <v>3357</v>
      </c>
    </row>
    <row r="1365" spans="3:3">
      <c r="C1365" s="1630" t="s">
        <v>3358</v>
      </c>
    </row>
    <row r="1366" spans="3:3">
      <c r="C1366" s="1630" t="s">
        <v>3359</v>
      </c>
    </row>
    <row r="1367" spans="3:3">
      <c r="C1367" s="1630" t="s">
        <v>3360</v>
      </c>
    </row>
    <row r="1368" spans="3:3">
      <c r="C1368" s="1630" t="s">
        <v>3361</v>
      </c>
    </row>
    <row r="1369" spans="3:3">
      <c r="C1369" s="1630" t="s">
        <v>3362</v>
      </c>
    </row>
    <row r="1370" spans="3:3">
      <c r="C1370" s="1630" t="s">
        <v>3363</v>
      </c>
    </row>
    <row r="1371" spans="3:3">
      <c r="C1371" s="1630" t="s">
        <v>3364</v>
      </c>
    </row>
    <row r="1372" spans="3:3">
      <c r="C1372" s="1630" t="s">
        <v>3365</v>
      </c>
    </row>
    <row r="1373" spans="3:3">
      <c r="C1373" s="1630" t="s">
        <v>3366</v>
      </c>
    </row>
    <row r="1374" spans="3:3">
      <c r="C1374" s="1630" t="s">
        <v>3367</v>
      </c>
    </row>
    <row r="1375" spans="3:3">
      <c r="C1375" s="1630" t="s">
        <v>3368</v>
      </c>
    </row>
    <row r="1376" spans="3:3">
      <c r="C1376" s="1630" t="s">
        <v>3369</v>
      </c>
    </row>
    <row r="1377" spans="3:3">
      <c r="C1377" s="1630" t="s">
        <v>3370</v>
      </c>
    </row>
    <row r="1378" spans="3:3">
      <c r="C1378" s="1630" t="s">
        <v>3371</v>
      </c>
    </row>
    <row r="1379" spans="3:3">
      <c r="C1379" s="1630" t="s">
        <v>3372</v>
      </c>
    </row>
  </sheetData>
  <phoneticPr fontId="0" type="noConversion"/>
  <dataValidations disablePrompts="1" count="1">
    <dataValidation type="list" allowBlank="1" showInputMessage="1" showErrorMessage="1" sqref="C107">
      <formula1>$C$112:$C$125</formula1>
    </dataValidation>
  </dataValidation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FFFFCC"/>
  </sheetPr>
  <dimension ref="A4:AL299"/>
  <sheetViews>
    <sheetView zoomScale="90" zoomScaleNormal="90" workbookViewId="0"/>
  </sheetViews>
  <sheetFormatPr baseColWidth="10" defaultColWidth="9.140625" defaultRowHeight="15"/>
  <cols>
    <col min="1" max="1" width="3.7109375" style="1117" customWidth="1"/>
    <col min="2" max="2" width="36.140625" style="1117" customWidth="1"/>
    <col min="3" max="3" width="51.85546875" style="1117" customWidth="1"/>
    <col min="4" max="4" width="20" style="1117" customWidth="1"/>
    <col min="5" max="6" width="16.7109375" style="1117" customWidth="1"/>
    <col min="7" max="7" width="35.28515625" style="1117" bestFit="1" customWidth="1"/>
    <col min="8" max="8" width="33.140625" style="1117" customWidth="1"/>
    <col min="9" max="9" width="20.85546875" style="1117" customWidth="1"/>
    <col min="10" max="10" width="13.42578125" style="1117" bestFit="1" customWidth="1"/>
    <col min="11" max="11" width="18.42578125" style="1117" customWidth="1"/>
    <col min="12" max="12" width="11.140625" style="1117" customWidth="1"/>
    <col min="13" max="13" width="21.42578125" style="1117" customWidth="1"/>
    <col min="14" max="14" width="22" style="1117" bestFit="1" customWidth="1"/>
    <col min="15" max="15" width="22.42578125" style="1117" customWidth="1"/>
    <col min="16" max="16" width="22" style="1117" customWidth="1"/>
    <col min="17" max="17" width="11.42578125" style="1117" customWidth="1"/>
    <col min="18" max="18" width="17.7109375" style="1117" bestFit="1" customWidth="1"/>
    <col min="19" max="19" width="18.5703125" style="1117" customWidth="1"/>
    <col min="20" max="20" width="14.85546875" style="1117" bestFit="1" customWidth="1"/>
    <col min="21" max="21" width="17" style="1117" bestFit="1" customWidth="1"/>
    <col min="22" max="22" width="13.140625" style="1117" bestFit="1" customWidth="1"/>
    <col min="23" max="23" width="17.28515625" style="1117" bestFit="1" customWidth="1"/>
    <col min="24" max="24" width="15" style="1117" bestFit="1" customWidth="1"/>
    <col min="25" max="25" width="15.28515625" style="1117" bestFit="1" customWidth="1"/>
    <col min="26" max="26" width="16.28515625" style="1117" bestFit="1" customWidth="1"/>
    <col min="27" max="27" width="13.42578125" style="1117" bestFit="1" customWidth="1"/>
    <col min="28" max="28" width="20.140625" style="1117" bestFit="1" customWidth="1"/>
    <col min="29" max="29" width="11.28515625" style="1117" bestFit="1" customWidth="1"/>
    <col min="30" max="30" width="14.5703125" style="1117" customWidth="1"/>
    <col min="31" max="31" width="14.5703125" style="1117" bestFit="1" customWidth="1"/>
    <col min="32" max="32" width="11.5703125" style="1117" bestFit="1" customWidth="1"/>
    <col min="33" max="33" width="9.140625" style="1117"/>
    <col min="34" max="34" width="46.28515625" style="1117" bestFit="1" customWidth="1"/>
    <col min="35" max="35" width="12" style="1117" bestFit="1" customWidth="1"/>
    <col min="36" max="36" width="17.28515625" style="1117" bestFit="1" customWidth="1"/>
    <col min="37" max="37" width="15.28515625" style="1117" bestFit="1" customWidth="1"/>
    <col min="38" max="39" width="16.28515625" style="1117" bestFit="1" customWidth="1"/>
    <col min="40" max="40" width="19.28515625" style="1117" bestFit="1" customWidth="1"/>
    <col min="41" max="41" width="16.85546875" style="1117" bestFit="1" customWidth="1"/>
    <col min="42" max="42" width="18.140625" style="1117" bestFit="1" customWidth="1"/>
    <col min="43" max="43" width="16" style="1117" bestFit="1" customWidth="1"/>
    <col min="44" max="44" width="19.7109375" style="1117" bestFit="1" customWidth="1"/>
    <col min="45" max="45" width="12" style="1117" bestFit="1" customWidth="1"/>
    <col min="46" max="46" width="11.140625" style="1117" bestFit="1" customWidth="1"/>
    <col min="47" max="47" width="9.140625" style="1117"/>
    <col min="48" max="48" width="10" style="1117" bestFit="1" customWidth="1"/>
    <col min="49" max="49" width="9.140625" style="1117"/>
    <col min="50" max="50" width="16.28515625" style="1117" bestFit="1" customWidth="1"/>
    <col min="51" max="51" width="9.140625" style="1117"/>
    <col min="52" max="52" width="11.42578125" style="1117" bestFit="1" customWidth="1"/>
    <col min="53" max="16384" width="9.140625" style="1117"/>
  </cols>
  <sheetData>
    <row r="4" spans="2:7" ht="21">
      <c r="B4" s="1158" t="s">
        <v>844</v>
      </c>
      <c r="C4" s="1645"/>
      <c r="D4" s="1645"/>
      <c r="E4" s="1645"/>
      <c r="F4" s="1645"/>
      <c r="G4" s="1645"/>
    </row>
    <row r="5" spans="2:7">
      <c r="B5" s="1646" t="s">
        <v>845</v>
      </c>
      <c r="C5" s="1647"/>
      <c r="D5" s="1647"/>
      <c r="E5" s="1647"/>
      <c r="F5" s="1647"/>
      <c r="G5" s="1647"/>
    </row>
    <row r="6" spans="2:7">
      <c r="B6" s="1190" t="s">
        <v>30</v>
      </c>
      <c r="C6" s="1647"/>
      <c r="D6" s="1647"/>
      <c r="E6" s="1647"/>
      <c r="F6" s="1647"/>
      <c r="G6" s="1647"/>
    </row>
    <row r="7" spans="2:7">
      <c r="B7" s="1648"/>
      <c r="C7" s="1647"/>
      <c r="D7" s="1647"/>
      <c r="E7" s="1647"/>
      <c r="F7" s="1647"/>
      <c r="G7" s="1647"/>
    </row>
    <row r="8" spans="2:7">
      <c r="B8" s="1648" t="s">
        <v>846</v>
      </c>
      <c r="C8" s="1647"/>
      <c r="D8" s="1647"/>
      <c r="E8" s="1647"/>
      <c r="F8" s="1647"/>
      <c r="G8" s="1647"/>
    </row>
    <row r="9" spans="2:7">
      <c r="B9" s="1648" t="s">
        <v>847</v>
      </c>
      <c r="C9" s="1647"/>
      <c r="D9" s="1647"/>
      <c r="E9" s="1647"/>
      <c r="F9" s="1647"/>
      <c r="G9" s="1647"/>
    </row>
    <row r="10" spans="2:7">
      <c r="B10" s="1648"/>
      <c r="C10" s="1647"/>
      <c r="D10" s="1647"/>
      <c r="E10" s="1647"/>
      <c r="F10" s="1647"/>
      <c r="G10" s="1647"/>
    </row>
    <row r="11" spans="2:7" ht="15.75">
      <c r="B11" s="1648" t="s">
        <v>233</v>
      </c>
      <c r="C11" s="1647"/>
      <c r="D11" s="1647"/>
      <c r="E11" s="1645"/>
      <c r="F11" s="1645"/>
      <c r="G11" s="1645"/>
    </row>
    <row r="12" spans="2:7" ht="15.75">
      <c r="B12" s="1649" t="s">
        <v>243</v>
      </c>
      <c r="C12" s="1647"/>
      <c r="D12" s="1647"/>
      <c r="E12" s="1645"/>
      <c r="F12" s="1645"/>
      <c r="G12" s="1645"/>
    </row>
    <row r="13" spans="2:7" ht="15.75">
      <c r="B13" s="1647"/>
      <c r="C13" s="1647"/>
      <c r="D13" s="1647"/>
      <c r="E13" s="1645"/>
      <c r="F13" s="1645"/>
      <c r="G13" s="1645"/>
    </row>
    <row r="14" spans="2:7" ht="15.75">
      <c r="B14" s="1648" t="s">
        <v>848</v>
      </c>
      <c r="C14" s="1647"/>
      <c r="D14" s="1647"/>
      <c r="E14" s="1645"/>
      <c r="F14" s="1645"/>
      <c r="G14" s="1645"/>
    </row>
    <row r="15" spans="2:7" ht="15.75">
      <c r="B15" s="1650"/>
      <c r="C15" s="1647"/>
      <c r="D15" s="1648"/>
      <c r="E15" s="1651"/>
      <c r="F15" s="1651"/>
      <c r="G15" s="1651"/>
    </row>
    <row r="16" spans="2:7" ht="15.75">
      <c r="B16" s="1652" t="s">
        <v>1634</v>
      </c>
      <c r="C16" s="1648"/>
      <c r="D16" s="1653"/>
      <c r="E16" s="1653"/>
      <c r="F16" s="1651"/>
      <c r="G16" s="1648"/>
    </row>
    <row r="17" spans="2:7" ht="15.75">
      <c r="B17" s="1654" t="s">
        <v>1530</v>
      </c>
      <c r="C17" s="1648"/>
      <c r="D17" s="1648"/>
      <c r="E17" s="1655"/>
      <c r="F17" s="1651"/>
      <c r="G17" s="1648"/>
    </row>
    <row r="18" spans="2:7" ht="15.75">
      <c r="B18" s="1645"/>
      <c r="C18" s="1651"/>
      <c r="D18" s="1648"/>
      <c r="E18" s="1648"/>
      <c r="F18" s="1648"/>
      <c r="G18" s="1648"/>
    </row>
    <row r="19" spans="2:7">
      <c r="B19" s="1652" t="s">
        <v>1526</v>
      </c>
      <c r="C19" s="1648"/>
      <c r="D19" s="1648"/>
      <c r="E19" s="1648"/>
      <c r="F19" s="1648"/>
      <c r="G19" s="1648"/>
    </row>
    <row r="20" spans="2:7">
      <c r="B20" s="1654" t="s">
        <v>1528</v>
      </c>
      <c r="C20" s="1648"/>
      <c r="D20" s="1648"/>
      <c r="E20" s="1648"/>
      <c r="F20" s="1648"/>
      <c r="G20" s="1648"/>
    </row>
    <row r="21" spans="2:7">
      <c r="B21" s="1647"/>
      <c r="C21" s="1648"/>
      <c r="D21" s="1656"/>
      <c r="E21" s="1648"/>
      <c r="F21" s="1648"/>
      <c r="G21" s="1648"/>
    </row>
    <row r="22" spans="2:7" ht="15.75">
      <c r="B22" s="1652" t="s">
        <v>1527</v>
      </c>
      <c r="C22" s="1648"/>
      <c r="D22" s="1651"/>
      <c r="E22" s="1651"/>
      <c r="F22" s="1648"/>
      <c r="G22" s="1648"/>
    </row>
    <row r="23" spans="2:7" ht="15.75">
      <c r="B23" s="1654" t="s">
        <v>1529</v>
      </c>
      <c r="C23" s="1648"/>
      <c r="D23" s="1651"/>
      <c r="E23" s="1651"/>
      <c r="F23" s="1648"/>
      <c r="G23" s="1648"/>
    </row>
    <row r="24" spans="2:7" ht="15.75">
      <c r="B24" s="1645"/>
      <c r="C24" s="1645"/>
      <c r="D24" s="1656"/>
      <c r="E24" s="1648"/>
      <c r="F24" s="1657"/>
      <c r="G24" s="1648"/>
    </row>
    <row r="25" spans="2:7" ht="15.75">
      <c r="B25" s="1454" t="s">
        <v>1617</v>
      </c>
      <c r="C25" s="1645"/>
      <c r="D25" s="1656"/>
      <c r="E25" s="1648"/>
      <c r="F25" s="1657"/>
      <c r="G25" s="1648"/>
    </row>
    <row r="26" spans="2:7" ht="15.75">
      <c r="B26" s="1645"/>
      <c r="C26" s="1645"/>
      <c r="D26" s="1656"/>
      <c r="E26" s="1648"/>
      <c r="F26" s="1657"/>
      <c r="G26" s="1648"/>
    </row>
    <row r="27" spans="2:7" ht="15.75">
      <c r="B27" s="1645"/>
      <c r="C27" s="1645"/>
      <c r="D27" s="1656"/>
      <c r="E27" s="1648"/>
      <c r="F27" s="1657"/>
      <c r="G27" s="1648"/>
    </row>
    <row r="28" spans="2:7" ht="15.75">
      <c r="B28" s="1645"/>
      <c r="C28" s="1645"/>
      <c r="D28" s="1656"/>
      <c r="E28" s="1648"/>
      <c r="F28" s="1657"/>
      <c r="G28" s="1648"/>
    </row>
    <row r="29" spans="2:7" ht="15.75">
      <c r="B29" s="1645"/>
      <c r="C29" s="1645"/>
      <c r="D29" s="1656"/>
      <c r="E29" s="1648"/>
      <c r="F29" s="1657"/>
      <c r="G29" s="1648"/>
    </row>
    <row r="43" spans="2:8">
      <c r="F43" s="1584" t="s">
        <v>1860</v>
      </c>
    </row>
    <row r="44" spans="2:8">
      <c r="F44" s="1881" t="s">
        <v>1861</v>
      </c>
    </row>
    <row r="48" spans="2:8">
      <c r="B48" s="1380" t="s">
        <v>1669</v>
      </c>
      <c r="C48" s="1045"/>
      <c r="D48" s="1046"/>
      <c r="E48" s="1045"/>
      <c r="F48" s="1045"/>
      <c r="G48" s="2408" t="s">
        <v>1795</v>
      </c>
      <c r="H48" s="2409"/>
    </row>
    <row r="49" spans="2:9" ht="15.75">
      <c r="B49" s="1721" t="s">
        <v>1525</v>
      </c>
      <c r="C49" s="1721" t="s">
        <v>1525</v>
      </c>
      <c r="D49" s="86"/>
      <c r="E49" s="795"/>
      <c r="F49" s="790"/>
      <c r="G49" s="2410" t="e">
        <f ca="1">_xll.BToday()-7</f>
        <v>#NAME?</v>
      </c>
      <c r="H49" s="2411"/>
    </row>
    <row r="50" spans="2:9">
      <c r="B50" s="1722" t="s">
        <v>1678</v>
      </c>
      <c r="C50" s="1723" t="s">
        <v>1677</v>
      </c>
      <c r="D50" s="1724" t="s">
        <v>889</v>
      </c>
      <c r="E50" s="1725" t="s">
        <v>426</v>
      </c>
      <c r="F50" s="1726" t="s">
        <v>50</v>
      </c>
      <c r="G50" s="1727" t="s">
        <v>783</v>
      </c>
      <c r="H50" s="1727" t="s">
        <v>470</v>
      </c>
    </row>
    <row r="51" spans="2:9" ht="15.75">
      <c r="B51" s="935"/>
      <c r="C51" s="876"/>
      <c r="D51" s="821"/>
      <c r="E51" s="29"/>
      <c r="F51" s="928"/>
      <c r="G51" s="790"/>
      <c r="H51" s="791"/>
    </row>
    <row r="52" spans="2:9" ht="15.75">
      <c r="B52" s="935"/>
      <c r="C52" s="876"/>
      <c r="D52" s="86"/>
      <c r="E52" s="227"/>
      <c r="F52" s="86"/>
      <c r="G52" s="935"/>
      <c r="H52" s="791"/>
    </row>
    <row r="53" spans="2:9">
      <c r="B53" s="939" t="s">
        <v>1670</v>
      </c>
      <c r="C53" s="888" t="s">
        <v>1671</v>
      </c>
      <c r="D53" s="852" t="s">
        <v>1672</v>
      </c>
      <c r="E53" s="853" t="s">
        <v>1673</v>
      </c>
      <c r="F53" s="885" t="s">
        <v>1674</v>
      </c>
      <c r="G53" s="940" t="s">
        <v>1675</v>
      </c>
      <c r="H53" s="941" t="s">
        <v>1676</v>
      </c>
      <c r="I53" s="1202"/>
    </row>
    <row r="54" spans="2:9" ht="15.75">
      <c r="B54" s="935"/>
      <c r="C54" s="795"/>
      <c r="D54" s="795"/>
      <c r="E54" s="795"/>
      <c r="F54" s="795"/>
      <c r="G54" s="942"/>
      <c r="H54" s="795"/>
      <c r="I54" s="1202"/>
    </row>
    <row r="55" spans="2:9">
      <c r="B55" s="436" t="e">
        <f>_xll.BDS(B49,B50,"cols=1;rows=17")</f>
        <v>#N/A</v>
      </c>
      <c r="C55" s="891" t="e">
        <f>_xll.BDS(C49,C50,"cols=1;rows=17")</f>
        <v>#N/A</v>
      </c>
      <c r="D55" s="943" t="e">
        <f>IF(C55="","",_xll.BDP(C55,$D$50))</f>
        <v>#N/A</v>
      </c>
      <c r="E55" s="438" t="e">
        <f>IF(C55="","",_xll.BDP($C55,E$50))</f>
        <v>#N/A</v>
      </c>
      <c r="F55" s="885" t="e">
        <f>IF(C55="","",_xll.BDP($C55,F$50))</f>
        <v>#N/A</v>
      </c>
      <c r="G55" s="944" t="e">
        <f ca="1">_xll.BDH($C55,G$50,$G$49,$G$49)</f>
        <v>#NAME?</v>
      </c>
      <c r="H55" s="945" t="e">
        <f ca="1">_xll.BDH($C55,H$50,$G$49,$G$49)</f>
        <v>#NAME?</v>
      </c>
      <c r="I55" s="1202"/>
    </row>
    <row r="56" spans="2:9">
      <c r="B56" s="437" t="s">
        <v>849</v>
      </c>
      <c r="C56" s="571" t="s">
        <v>2021</v>
      </c>
      <c r="D56" s="980" t="e">
        <f ca="1">IF(C56="","",_xll.BDP(C56,$D$50))</f>
        <v>#NAME?</v>
      </c>
      <c r="E56" s="792" t="e">
        <f ca="1">IF(C56="","",_xll.BDP($C56,E$50))</f>
        <v>#NAME?</v>
      </c>
      <c r="F56" s="792" t="e">
        <f ca="1">IF(C56="","",_xll.BDP($C56,F$50))</f>
        <v>#NAME?</v>
      </c>
      <c r="G56" s="981" t="e">
        <f ca="1">_xll.BDH($C56,G$50,$G$49,$G$49)</f>
        <v>#NAME?</v>
      </c>
      <c r="H56" s="982" t="e">
        <f ca="1">_xll.BDH($C56,H$50,$G$49,$G$49)</f>
        <v>#NAME?</v>
      </c>
      <c r="I56" s="1202"/>
    </row>
    <row r="57" spans="2:9">
      <c r="B57" s="437" t="s">
        <v>850</v>
      </c>
      <c r="C57" s="571" t="s">
        <v>2075</v>
      </c>
      <c r="D57" s="980" t="e">
        <f ca="1">IF(C57="","",_xll.BDP(C57,$D$50))</f>
        <v>#NAME?</v>
      </c>
      <c r="E57" s="792" t="e">
        <f ca="1">IF(C57="","",_xll.BDP($C57,E$50))</f>
        <v>#NAME?</v>
      </c>
      <c r="F57" s="792" t="e">
        <f ca="1">IF(C57="","",_xll.BDP($C57,F$50))</f>
        <v>#NAME?</v>
      </c>
      <c r="G57" s="981" t="e">
        <f ca="1">_xll.BDH($C57,G$50,$G$49,$G$49)</f>
        <v>#NAME?</v>
      </c>
      <c r="H57" s="982" t="e">
        <f ca="1">_xll.BDH($C57,H$50,$G$49,$G$49)</f>
        <v>#NAME?</v>
      </c>
      <c r="I57" s="1202"/>
    </row>
    <row r="58" spans="2:9">
      <c r="B58" s="437" t="s">
        <v>851</v>
      </c>
      <c r="C58" s="571" t="s">
        <v>2076</v>
      </c>
      <c r="D58" s="980" t="e">
        <f ca="1">IF(C58="","",_xll.BDP(C58,$D$50))</f>
        <v>#NAME?</v>
      </c>
      <c r="E58" s="792" t="e">
        <f ca="1">IF(C58="","",_xll.BDP($C58,E$50))</f>
        <v>#NAME?</v>
      </c>
      <c r="F58" s="792" t="e">
        <f ca="1">IF(C58="","",_xll.BDP($C58,F$50))</f>
        <v>#NAME?</v>
      </c>
      <c r="G58" s="981" t="e">
        <f ca="1">_xll.BDH($C58,G$50,$G$49,$G$49)</f>
        <v>#NAME?</v>
      </c>
      <c r="H58" s="982" t="e">
        <f ca="1">_xll.BDH($C58,H$50,$G$49,$G$49)</f>
        <v>#NAME?</v>
      </c>
      <c r="I58" s="1202"/>
    </row>
    <row r="59" spans="2:9">
      <c r="B59" s="437" t="s">
        <v>852</v>
      </c>
      <c r="C59" s="571" t="s">
        <v>2077</v>
      </c>
      <c r="D59" s="980" t="e">
        <f ca="1">IF(C59="","",_xll.BDP(C59,$D$50))</f>
        <v>#NAME?</v>
      </c>
      <c r="E59" s="792" t="e">
        <f ca="1">IF(C59="","",_xll.BDP($C59,E$50))</f>
        <v>#NAME?</v>
      </c>
      <c r="F59" s="792" t="e">
        <f ca="1">IF(C59="","",_xll.BDP($C59,F$50))</f>
        <v>#NAME?</v>
      </c>
      <c r="G59" s="981" t="e">
        <f ca="1">_xll.BDH($C59,G$50,$G$49,$G$49)</f>
        <v>#NAME?</v>
      </c>
      <c r="H59" s="982" t="e">
        <f ca="1">_xll.BDH($C59,H$50,$G$49,$G$49)</f>
        <v>#NAME?</v>
      </c>
      <c r="I59" s="1202"/>
    </row>
    <row r="60" spans="2:9">
      <c r="B60" s="437" t="s">
        <v>853</v>
      </c>
      <c r="C60" s="571" t="s">
        <v>2022</v>
      </c>
      <c r="D60" s="980" t="e">
        <f ca="1">IF(C60="","",_xll.BDP(C60,$D$50))</f>
        <v>#NAME?</v>
      </c>
      <c r="E60" s="792" t="e">
        <f ca="1">IF(C60="","",_xll.BDP($C60,E$50))</f>
        <v>#NAME?</v>
      </c>
      <c r="F60" s="792" t="e">
        <f ca="1">IF(C60="","",_xll.BDP($C60,F$50))</f>
        <v>#NAME?</v>
      </c>
      <c r="G60" s="981" t="e">
        <f ca="1">_xll.BDH($C60,G$50,$G$49,$G$49)</f>
        <v>#NAME?</v>
      </c>
      <c r="H60" s="982" t="e">
        <f ca="1">_xll.BDH($C60,H$50,$G$49,$G$49)</f>
        <v>#NAME?</v>
      </c>
      <c r="I60" s="1202"/>
    </row>
    <row r="61" spans="2:9">
      <c r="B61" s="437" t="s">
        <v>854</v>
      </c>
      <c r="C61" s="571" t="s">
        <v>2023</v>
      </c>
      <c r="D61" s="980" t="e">
        <f ca="1">IF(C61="","",_xll.BDP(C61,$D$50))</f>
        <v>#NAME?</v>
      </c>
      <c r="E61" s="792" t="e">
        <f ca="1">IF(C61="","",_xll.BDP($C61,E$50))</f>
        <v>#NAME?</v>
      </c>
      <c r="F61" s="792" t="e">
        <f ca="1">IF(C61="","",_xll.BDP($C61,F$50))</f>
        <v>#NAME?</v>
      </c>
      <c r="G61" s="981" t="e">
        <f ca="1">_xll.BDH($C61,G$50,$G$49,$G$49)</f>
        <v>#NAME?</v>
      </c>
      <c r="H61" s="982" t="e">
        <f ca="1">_xll.BDH($C61,H$50,$G$49,$G$49)</f>
        <v>#NAME?</v>
      </c>
      <c r="I61" s="1202"/>
    </row>
    <row r="62" spans="2:9">
      <c r="B62" s="437" t="s">
        <v>855</v>
      </c>
      <c r="C62" s="571" t="s">
        <v>2024</v>
      </c>
      <c r="D62" s="980" t="e">
        <f ca="1">IF(C62="","",_xll.BDP(C62,$D$50))</f>
        <v>#NAME?</v>
      </c>
      <c r="E62" s="792" t="e">
        <f ca="1">IF(C62="","",_xll.BDP($C62,E$50))</f>
        <v>#NAME?</v>
      </c>
      <c r="F62" s="792" t="e">
        <f ca="1">IF(C62="","",_xll.BDP($C62,F$50))</f>
        <v>#NAME?</v>
      </c>
      <c r="G62" s="981" t="e">
        <f ca="1">_xll.BDH($C62,G$50,$G$49,$G$49)</f>
        <v>#NAME?</v>
      </c>
      <c r="H62" s="982" t="e">
        <f ca="1">_xll.BDH($C62,H$50,$G$49,$G$49)</f>
        <v>#NAME?</v>
      </c>
      <c r="I62" s="1202"/>
    </row>
    <row r="63" spans="2:9">
      <c r="B63" s="437" t="s">
        <v>856</v>
      </c>
      <c r="C63" s="571" t="s">
        <v>2025</v>
      </c>
      <c r="D63" s="980" t="e">
        <f ca="1">IF(C63="","",_xll.BDP(C63,$D$50))</f>
        <v>#NAME?</v>
      </c>
      <c r="E63" s="792" t="e">
        <f ca="1">IF(C63="","",_xll.BDP($C63,E$50))</f>
        <v>#NAME?</v>
      </c>
      <c r="F63" s="792" t="e">
        <f ca="1">IF(C63="","",_xll.BDP($C63,F$50))</f>
        <v>#NAME?</v>
      </c>
      <c r="G63" s="981" t="e">
        <f ca="1">_xll.BDH($C63,G$50,$G$49,$G$49)</f>
        <v>#NAME?</v>
      </c>
      <c r="H63" s="982" t="e">
        <f ca="1">_xll.BDH($C63,H$50,$G$49,$G$49)</f>
        <v>#NAME?</v>
      </c>
      <c r="I63" s="1202"/>
    </row>
    <row r="64" spans="2:9">
      <c r="B64" s="437" t="s">
        <v>857</v>
      </c>
      <c r="C64" s="571" t="s">
        <v>2026</v>
      </c>
      <c r="D64" s="980" t="e">
        <f ca="1">IF(C64="","",_xll.BDP(C64,$D$50))</f>
        <v>#NAME?</v>
      </c>
      <c r="E64" s="792" t="e">
        <f ca="1">IF(C64="","",_xll.BDP($C64,E$50))</f>
        <v>#NAME?</v>
      </c>
      <c r="F64" s="792" t="e">
        <f ca="1">IF(C64="","",_xll.BDP($C64,F$50))</f>
        <v>#NAME?</v>
      </c>
      <c r="G64" s="981" t="e">
        <f ca="1">_xll.BDH($C64,G$50,$G$49,$G$49)</f>
        <v>#NAME?</v>
      </c>
      <c r="H64" s="982" t="e">
        <f ca="1">_xll.BDH($C64,H$50,$G$49,$G$49)</f>
        <v>#NAME?</v>
      </c>
      <c r="I64" s="1202"/>
    </row>
    <row r="65" spans="2:9">
      <c r="B65" s="437" t="s">
        <v>858</v>
      </c>
      <c r="C65" s="571" t="s">
        <v>2027</v>
      </c>
      <c r="D65" s="980" t="e">
        <f ca="1">IF(C65="","",_xll.BDP(C65,$D$50))</f>
        <v>#NAME?</v>
      </c>
      <c r="E65" s="792" t="e">
        <f ca="1">IF(C65="","",_xll.BDP($C65,E$50))</f>
        <v>#NAME?</v>
      </c>
      <c r="F65" s="792" t="e">
        <f ca="1">IF(C65="","",_xll.BDP($C65,F$50))</f>
        <v>#NAME?</v>
      </c>
      <c r="G65" s="981" t="e">
        <f ca="1">_xll.BDH($C65,G$50,$G$49,$G$49)</f>
        <v>#NAME?</v>
      </c>
      <c r="H65" s="982" t="e">
        <f ca="1">_xll.BDH($C65,H$50,$G$49,$G$49)</f>
        <v>#NAME?</v>
      </c>
      <c r="I65" s="1202"/>
    </row>
    <row r="66" spans="2:9">
      <c r="B66" s="437" t="s">
        <v>859</v>
      </c>
      <c r="C66" s="571" t="s">
        <v>2028</v>
      </c>
      <c r="D66" s="980" t="e">
        <f ca="1">IF(C66="","",_xll.BDP(C66,$D$50))</f>
        <v>#NAME?</v>
      </c>
      <c r="E66" s="792" t="e">
        <f ca="1">IF(C66="","",_xll.BDP($C66,E$50))</f>
        <v>#NAME?</v>
      </c>
      <c r="F66" s="792" t="e">
        <f ca="1">IF(C66="","",_xll.BDP($C66,F$50))</f>
        <v>#NAME?</v>
      </c>
      <c r="G66" s="981" t="e">
        <f ca="1">_xll.BDH($C66,G$50,$G$49,$G$49)</f>
        <v>#NAME?</v>
      </c>
      <c r="H66" s="982" t="e">
        <f ca="1">_xll.BDH($C66,H$50,$G$49,$G$49)</f>
        <v>#NAME?</v>
      </c>
      <c r="I66" s="1202"/>
    </row>
    <row r="67" spans="2:9">
      <c r="B67" s="437" t="s">
        <v>860</v>
      </c>
      <c r="C67" s="571" t="s">
        <v>2029</v>
      </c>
      <c r="D67" s="980" t="e">
        <f ca="1">IF(C67="","",_xll.BDP(C67,$D$50))</f>
        <v>#NAME?</v>
      </c>
      <c r="E67" s="792" t="e">
        <f ca="1">IF(C67="","",_xll.BDP($C67,E$50))</f>
        <v>#NAME?</v>
      </c>
      <c r="F67" s="792" t="e">
        <f ca="1">IF(C67="","",_xll.BDP($C67,F$50))</f>
        <v>#NAME?</v>
      </c>
      <c r="G67" s="981" t="e">
        <f ca="1">_xll.BDH($C67,G$50,$G$49,$G$49)</f>
        <v>#NAME?</v>
      </c>
      <c r="H67" s="982" t="e">
        <f ca="1">_xll.BDH($C67,H$50,$G$49,$G$49)</f>
        <v>#NAME?</v>
      </c>
      <c r="I67" s="1202"/>
    </row>
    <row r="68" spans="2:9">
      <c r="B68" s="437" t="s">
        <v>861</v>
      </c>
      <c r="C68" s="571" t="s">
        <v>1973</v>
      </c>
      <c r="D68" s="980" t="e">
        <f ca="1">IF(C68="","",_xll.BDP(C68,$D$50))</f>
        <v>#NAME?</v>
      </c>
      <c r="E68" s="792" t="e">
        <f ca="1">IF(C68="","",_xll.BDP($C68,E$50))</f>
        <v>#NAME?</v>
      </c>
      <c r="F68" s="792" t="e">
        <f ca="1">IF(C68="","",_xll.BDP($C68,F$50))</f>
        <v>#NAME?</v>
      </c>
      <c r="G68" s="981" t="e">
        <f ca="1">_xll.BDH($C68,G$50,$G$49,$G$49)</f>
        <v>#NAME?</v>
      </c>
      <c r="H68" s="982" t="e">
        <f ca="1">_xll.BDH($C68,H$50,$G$49,$G$49)</f>
        <v>#NAME?</v>
      </c>
      <c r="I68" s="1202"/>
    </row>
    <row r="69" spans="2:9">
      <c r="B69" s="437" t="s">
        <v>862</v>
      </c>
      <c r="C69" s="571" t="s">
        <v>1974</v>
      </c>
      <c r="D69" s="980" t="e">
        <f ca="1">IF(C69="","",_xll.BDP(C69,$D$50))</f>
        <v>#NAME?</v>
      </c>
      <c r="E69" s="792" t="e">
        <f ca="1">IF(C69="","",_xll.BDP($C69,E$50))</f>
        <v>#NAME?</v>
      </c>
      <c r="F69" s="792" t="e">
        <f ca="1">IF(C69="","",_xll.BDP($C69,F$50))</f>
        <v>#NAME?</v>
      </c>
      <c r="G69" s="981" t="e">
        <f ca="1">_xll.BDH($C69,G$50,$G$49,$G$49)</f>
        <v>#NAME?</v>
      </c>
      <c r="H69" s="982" t="e">
        <f ca="1">_xll.BDH($C69,H$50,$G$49,$G$49)</f>
        <v>#NAME?</v>
      </c>
      <c r="I69" s="1202"/>
    </row>
    <row r="70" spans="2:9">
      <c r="B70" s="437" t="s">
        <v>1405</v>
      </c>
      <c r="C70" s="571" t="s">
        <v>1975</v>
      </c>
      <c r="D70" s="980" t="e">
        <f ca="1">IF(C70="","",_xll.BDP(C70,$D$50))</f>
        <v>#NAME?</v>
      </c>
      <c r="E70" s="792" t="e">
        <f ca="1">IF(C70="","",_xll.BDP($C70,E$50))</f>
        <v>#NAME?</v>
      </c>
      <c r="F70" s="792" t="e">
        <f ca="1">IF(C70="","",_xll.BDP($C70,F$50))</f>
        <v>#NAME?</v>
      </c>
      <c r="G70" s="981" t="e">
        <f ca="1">_xll.BDH($C70,G$50,$G$49,$G$49)</f>
        <v>#NAME?</v>
      </c>
      <c r="H70" s="982" t="e">
        <f ca="1">_xll.BDH($C70,H$50,$G$49,$G$49)</f>
        <v>#NAME?</v>
      </c>
      <c r="I70" s="1202"/>
    </row>
    <row r="71" spans="2:9">
      <c r="B71" s="437" t="s">
        <v>863</v>
      </c>
      <c r="C71" s="571" t="s">
        <v>1309</v>
      </c>
      <c r="D71" s="980" t="e">
        <f ca="1">IF(C71="","",_xll.BDP(C71,$D$50))</f>
        <v>#NAME?</v>
      </c>
      <c r="E71" s="792" t="e">
        <f ca="1">IF(C71="","",_xll.BDP($C71,E$50))</f>
        <v>#NAME?</v>
      </c>
      <c r="F71" s="792" t="e">
        <f ca="1">IF(C71="","",_xll.BDP($C71,F$50))</f>
        <v>#NAME?</v>
      </c>
      <c r="G71" s="981" t="e">
        <f ca="1">_xll.BDH($C71,G$50,$G$49,$G$49)</f>
        <v>#NAME?</v>
      </c>
      <c r="H71" s="982" t="e">
        <f ca="1">_xll.BDH($C71,H$50,$G$49,$G$49)</f>
        <v>#NAME?</v>
      </c>
      <c r="I71" s="1202"/>
    </row>
    <row r="72" spans="2:9">
      <c r="B72" s="437"/>
      <c r="C72" s="571"/>
      <c r="D72" s="943"/>
      <c r="E72" s="438"/>
      <c r="F72" s="885"/>
      <c r="G72" s="944"/>
      <c r="H72" s="945"/>
      <c r="I72" s="1202"/>
    </row>
    <row r="73" spans="2:9">
      <c r="B73" s="437"/>
      <c r="C73" s="571"/>
      <c r="D73" s="943"/>
      <c r="E73" s="438"/>
      <c r="F73" s="885"/>
      <c r="G73" s="944"/>
      <c r="H73" s="945"/>
      <c r="I73" s="1202"/>
    </row>
    <row r="74" spans="2:9">
      <c r="B74" s="437"/>
      <c r="C74" s="571"/>
      <c r="D74" s="943"/>
      <c r="E74" s="438"/>
      <c r="F74" s="885"/>
      <c r="G74" s="944"/>
      <c r="H74" s="945"/>
      <c r="I74" s="1202"/>
    </row>
    <row r="75" spans="2:9" ht="15.75">
      <c r="B75" s="437"/>
      <c r="C75" s="917"/>
      <c r="D75" s="946" t="str">
        <f>IF(C75="","",_xll.BDP(C75,$D$50))</f>
        <v/>
      </c>
      <c r="E75" s="438" t="str">
        <f>IF(C75="","",_xll.BDP($C75,E$50))</f>
        <v/>
      </c>
      <c r="F75" s="885" t="str">
        <f>IF(C75="","",_xll.BDP($C75,F$50))</f>
        <v/>
      </c>
      <c r="G75" s="947"/>
      <c r="H75" s="948"/>
      <c r="I75" s="1119"/>
    </row>
    <row r="76" spans="2:9" ht="15.75">
      <c r="B76" s="949"/>
      <c r="C76" s="950"/>
      <c r="D76" s="951" t="str">
        <f>IF(C76="","",_xll.BDP(C76,$D$50))</f>
        <v/>
      </c>
      <c r="E76" s="936" t="str">
        <f>IF(C76="","",_xll.BDP($C76,E$50))</f>
        <v/>
      </c>
      <c r="F76" s="937" t="str">
        <f>IF(C76="","",_xll.BDP($C76,F$50))</f>
        <v/>
      </c>
      <c r="G76" s="952"/>
      <c r="H76" s="953"/>
    </row>
    <row r="77" spans="2:9" ht="15.75">
      <c r="B77" s="1662"/>
      <c r="C77" s="1660"/>
      <c r="D77" s="1661" t="str">
        <f>IF(C77="","",_xll.BDP(C77,$D$50))</f>
        <v/>
      </c>
      <c r="E77" s="1659" t="str">
        <f>IF(C77="","",_xll.BDP($C77,E$50))</f>
        <v/>
      </c>
      <c r="F77" s="1658" t="str">
        <f>IF(C77="","",_xll.BDP($C77,F$50))</f>
        <v/>
      </c>
      <c r="G77" s="1651"/>
      <c r="H77" s="1651"/>
    </row>
    <row r="78" spans="2:9">
      <c r="B78" s="1119"/>
      <c r="C78" s="1648"/>
      <c r="D78" s="1650"/>
      <c r="E78" s="1648"/>
      <c r="F78" s="1648"/>
      <c r="G78" s="1648"/>
      <c r="H78" s="1663"/>
    </row>
    <row r="79" spans="2:9">
      <c r="B79" s="1044" t="s">
        <v>1691</v>
      </c>
      <c r="C79" s="1046"/>
      <c r="D79" s="1047"/>
      <c r="E79" s="1047"/>
      <c r="F79" s="1048"/>
      <c r="G79" s="1045"/>
      <c r="H79" s="1049"/>
    </row>
    <row r="80" spans="2:9">
      <c r="B80" s="1728" t="s">
        <v>1525</v>
      </c>
      <c r="C80" s="1721" t="str">
        <f>B80</f>
        <v>YCGT0016 Index</v>
      </c>
      <c r="D80" s="86"/>
      <c r="E80" s="1050"/>
      <c r="F80" s="1051"/>
      <c r="G80" s="86"/>
      <c r="H80" s="1052"/>
    </row>
    <row r="81" spans="2:8" ht="15.75">
      <c r="B81" s="1722" t="s">
        <v>1678</v>
      </c>
      <c r="C81" s="1723" t="s">
        <v>1677</v>
      </c>
      <c r="D81" s="1050"/>
      <c r="E81" s="790"/>
      <c r="F81" s="1732" t="e">
        <f ca="1">_xll.BToday()-7</f>
        <v>#NAME?</v>
      </c>
      <c r="G81" s="750"/>
      <c r="H81" s="1053"/>
    </row>
    <row r="82" spans="2:8" ht="15.75">
      <c r="B82" s="1728" t="s">
        <v>1679</v>
      </c>
      <c r="C82" s="1721" t="str">
        <f>B82</f>
        <v>curve date</v>
      </c>
      <c r="D82" s="86"/>
      <c r="E82" s="790"/>
      <c r="F82" s="1054"/>
      <c r="G82" s="86"/>
      <c r="H82" s="791"/>
    </row>
    <row r="83" spans="2:8">
      <c r="B83" s="1729" t="e">
        <f ca="1">_xll.BToday()</f>
        <v>#NAME?</v>
      </c>
      <c r="C83" s="1729" t="e">
        <f ca="1">_xll.BToday()</f>
        <v>#NAME?</v>
      </c>
      <c r="D83" s="1727" t="s">
        <v>889</v>
      </c>
      <c r="E83" s="1730" t="s">
        <v>1680</v>
      </c>
      <c r="F83" s="1731" t="s">
        <v>426</v>
      </c>
      <c r="G83" s="1727" t="s">
        <v>470</v>
      </c>
      <c r="H83" s="1727" t="s">
        <v>1531</v>
      </c>
    </row>
    <row r="84" spans="2:8">
      <c r="B84" s="327"/>
      <c r="C84" s="340"/>
      <c r="D84" s="889"/>
      <c r="E84" s="932"/>
      <c r="F84" s="966" t="s">
        <v>2035</v>
      </c>
      <c r="G84" s="226"/>
      <c r="H84" s="8"/>
    </row>
    <row r="85" spans="2:8" ht="15.75">
      <c r="B85" s="745" t="s">
        <v>2033</v>
      </c>
      <c r="C85" s="746" t="s">
        <v>2032</v>
      </c>
      <c r="D85" s="890" t="s">
        <v>2031</v>
      </c>
      <c r="E85" s="979" t="s">
        <v>2031</v>
      </c>
      <c r="F85" s="935"/>
      <c r="G85" s="916" t="s">
        <v>2034</v>
      </c>
      <c r="H85" s="965" t="s">
        <v>1694</v>
      </c>
    </row>
    <row r="86" spans="2:8">
      <c r="B86" s="436" t="e">
        <f ca="1">_xll.BDS(B80,B81,B82,B83,"cols=1;rows=17")</f>
        <v>#NAME?</v>
      </c>
      <c r="C86" s="339" t="e">
        <f ca="1">_xll.BDS($C$80,$C$81,$C$82,$C$83,"cols=1;rows=17")</f>
        <v>#NAME?</v>
      </c>
      <c r="D86" s="793" t="e">
        <f ca="1">_xll.BDP($C86,D$83)</f>
        <v>#NAME?</v>
      </c>
      <c r="E86" s="978" t="e">
        <f ca="1">_xll.BDP($C86,E$83)</f>
        <v>#NAME?</v>
      </c>
      <c r="F86" s="967" t="e">
        <f ca="1">IF(C86="","",_xll.BDH($C86,F$83,$F$81,$F$81))</f>
        <v>#NAME?</v>
      </c>
      <c r="G86" s="915" t="e">
        <f ca="1">IF(C86="","",_xll.BDH($C86,G$83,$F$81,$F$81))</f>
        <v>#NAME?</v>
      </c>
      <c r="H86" s="954" t="e">
        <f ca="1">_xll.BDP($C86,H$83)</f>
        <v>#NAME?</v>
      </c>
    </row>
    <row r="87" spans="2:8">
      <c r="B87" s="437" t="s">
        <v>849</v>
      </c>
      <c r="C87" s="932" t="s">
        <v>2210</v>
      </c>
      <c r="D87" s="932" t="e">
        <f ca="1">_xll.BDP($C87,D$83)</f>
        <v>#NAME?</v>
      </c>
      <c r="E87" s="932" t="e">
        <f ca="1">_xll.BDP($C87,E$83)</f>
        <v>#NAME?</v>
      </c>
      <c r="F87" s="968" t="e">
        <f ca="1">IF(C87="","",_xll.BDH($C87,F$83,$F$81,$F$81))</f>
        <v>#NAME?</v>
      </c>
      <c r="G87" s="71" t="e">
        <f ca="1">IF(C87="","",_xll.BDH($C87,G$83,$F$81,$F$81))</f>
        <v>#NAME?</v>
      </c>
      <c r="H87" s="955" t="e">
        <f ca="1">_xll.BDP($C87,H$83)</f>
        <v>#NAME?</v>
      </c>
    </row>
    <row r="88" spans="2:8">
      <c r="B88" s="437" t="s">
        <v>850</v>
      </c>
      <c r="C88" s="932" t="s">
        <v>3444</v>
      </c>
      <c r="D88" s="932" t="e">
        <f ca="1">_xll.BDP($C88,D$83)</f>
        <v>#NAME?</v>
      </c>
      <c r="E88" s="932" t="e">
        <f ca="1">_xll.BDP($C88,E$83)</f>
        <v>#NAME?</v>
      </c>
      <c r="F88" s="968" t="e">
        <f ca="1">IF(C88="","",_xll.BDH($C88,F$83,$F$81,$F$81))</f>
        <v>#NAME?</v>
      </c>
      <c r="G88" s="71" t="e">
        <f ca="1">IF(C88="","",_xll.BDH($C88,G$83,$F$81,$F$81))</f>
        <v>#NAME?</v>
      </c>
      <c r="H88" s="955" t="e">
        <f ca="1">_xll.BDP($C88,H$83)</f>
        <v>#NAME?</v>
      </c>
    </row>
    <row r="89" spans="2:8">
      <c r="B89" s="437" t="s">
        <v>851</v>
      </c>
      <c r="C89" s="932" t="s">
        <v>3445</v>
      </c>
      <c r="D89" s="932" t="e">
        <f ca="1">_xll.BDP($C89,D$83)</f>
        <v>#NAME?</v>
      </c>
      <c r="E89" s="932" t="e">
        <f ca="1">_xll.BDP($C89,E$83)</f>
        <v>#NAME?</v>
      </c>
      <c r="F89" s="968" t="e">
        <f ca="1">IF(C89="","",_xll.BDH($C89,F$83,$F$81,$F$81))</f>
        <v>#NAME?</v>
      </c>
      <c r="G89" s="71" t="e">
        <f ca="1">IF(C89="","",_xll.BDH($C89,G$83,$F$81,$F$81))</f>
        <v>#NAME?</v>
      </c>
      <c r="H89" s="955" t="e">
        <f ca="1">_xll.BDP($C89,H$83)</f>
        <v>#NAME?</v>
      </c>
    </row>
    <row r="90" spans="2:8">
      <c r="B90" s="437" t="s">
        <v>852</v>
      </c>
      <c r="C90" s="932" t="s">
        <v>3446</v>
      </c>
      <c r="D90" s="932" t="e">
        <f ca="1">_xll.BDP($C90,D$83)</f>
        <v>#NAME?</v>
      </c>
      <c r="E90" s="932" t="e">
        <f ca="1">_xll.BDP($C90,E$83)</f>
        <v>#NAME?</v>
      </c>
      <c r="F90" s="968" t="e">
        <f ca="1">IF(C90="","",_xll.BDH($C90,F$83,$F$81,$F$81))</f>
        <v>#NAME?</v>
      </c>
      <c r="G90" s="71" t="e">
        <f ca="1">IF(C90="","",_xll.BDH($C90,G$83,$F$81,$F$81))</f>
        <v>#NAME?</v>
      </c>
      <c r="H90" s="955" t="e">
        <f ca="1">_xll.BDP($C90,H$83)</f>
        <v>#NAME?</v>
      </c>
    </row>
    <row r="91" spans="2:8">
      <c r="B91" s="437" t="s">
        <v>853</v>
      </c>
      <c r="C91" s="932" t="s">
        <v>2024</v>
      </c>
      <c r="D91" s="932" t="e">
        <f ca="1">_xll.BDP($C91,D$83)</f>
        <v>#NAME?</v>
      </c>
      <c r="E91" s="932" t="e">
        <f ca="1">_xll.BDP($C91,E$83)</f>
        <v>#NAME?</v>
      </c>
      <c r="F91" s="968" t="e">
        <f ca="1">IF(C91="","",_xll.BDH($C91,F$83,$F$81,$F$81))</f>
        <v>#NAME?</v>
      </c>
      <c r="G91" s="71" t="e">
        <f ca="1">IF(C91="","",_xll.BDH($C91,G$83,$F$81,$F$81))</f>
        <v>#NAME?</v>
      </c>
      <c r="H91" s="955" t="e">
        <f ca="1">_xll.BDP($C91,H$83)</f>
        <v>#NAME?</v>
      </c>
    </row>
    <row r="92" spans="2:8">
      <c r="B92" s="437" t="s">
        <v>854</v>
      </c>
      <c r="C92" s="932" t="s">
        <v>3447</v>
      </c>
      <c r="D92" s="932" t="e">
        <f ca="1">_xll.BDP($C92,D$83)</f>
        <v>#NAME?</v>
      </c>
      <c r="E92" s="932" t="e">
        <f ca="1">_xll.BDP($C92,E$83)</f>
        <v>#NAME?</v>
      </c>
      <c r="F92" s="968" t="e">
        <f ca="1">IF(C92="","",_xll.BDH($C92,F$83,$F$81,$F$81))</f>
        <v>#NAME?</v>
      </c>
      <c r="G92" s="71" t="e">
        <f ca="1">IF(C92="","",_xll.BDH($C92,G$83,$F$81,$F$81))</f>
        <v>#NAME?</v>
      </c>
      <c r="H92" s="955" t="e">
        <f ca="1">_xll.BDP($C92,H$83)</f>
        <v>#NAME?</v>
      </c>
    </row>
    <row r="93" spans="2:8" ht="15.75" customHeight="1">
      <c r="B93" s="437" t="s">
        <v>855</v>
      </c>
      <c r="C93" s="932" t="s">
        <v>3448</v>
      </c>
      <c r="D93" s="932" t="e">
        <f ca="1">_xll.BDP($C93,D$83)</f>
        <v>#NAME?</v>
      </c>
      <c r="E93" s="932" t="e">
        <f ca="1">_xll.BDP($C93,E$83)</f>
        <v>#NAME?</v>
      </c>
      <c r="F93" s="968" t="e">
        <f ca="1">IF(C93="","",_xll.BDH($C93,F$83,$F$81,$F$81))</f>
        <v>#NAME?</v>
      </c>
      <c r="G93" s="71" t="e">
        <f ca="1">IF(C93="","",_xll.BDH($C93,G$83,$F$81,$F$81))</f>
        <v>#NAME?</v>
      </c>
      <c r="H93" s="955" t="e">
        <f ca="1">_xll.BDP($C93,H$83)</f>
        <v>#NAME?</v>
      </c>
    </row>
    <row r="94" spans="2:8">
      <c r="B94" s="437" t="s">
        <v>856</v>
      </c>
      <c r="C94" s="932" t="s">
        <v>2027</v>
      </c>
      <c r="D94" s="932" t="e">
        <f ca="1">_xll.BDP($C94,D$83)</f>
        <v>#NAME?</v>
      </c>
      <c r="E94" s="932" t="e">
        <f ca="1">_xll.BDP($C94,E$83)</f>
        <v>#NAME?</v>
      </c>
      <c r="F94" s="968" t="e">
        <f ca="1">IF(C94="","",_xll.BDH($C94,F$83,$F$81,$F$81))</f>
        <v>#NAME?</v>
      </c>
      <c r="G94" s="71" t="e">
        <f ca="1">IF(C94="","",_xll.BDH($C94,G$83,$F$81,$F$81))</f>
        <v>#NAME?</v>
      </c>
      <c r="H94" s="955" t="e">
        <f ca="1">_xll.BDP($C94,H$83)</f>
        <v>#NAME?</v>
      </c>
    </row>
    <row r="95" spans="2:8" ht="15" customHeight="1">
      <c r="B95" s="437" t="s">
        <v>857</v>
      </c>
      <c r="C95" s="932" t="s">
        <v>2028</v>
      </c>
      <c r="D95" s="932" t="e">
        <f ca="1">_xll.BDP($C95,D$83)</f>
        <v>#NAME?</v>
      </c>
      <c r="E95" s="932" t="e">
        <f ca="1">_xll.BDP($C95,E$83)</f>
        <v>#NAME?</v>
      </c>
      <c r="F95" s="968" t="e">
        <f ca="1">IF(C95="","",_xll.BDH($C95,F$83,$F$81,$F$81))</f>
        <v>#NAME?</v>
      </c>
      <c r="G95" s="71" t="e">
        <f ca="1">IF(C95="","",_xll.BDH($C95,G$83,$F$81,$F$81))</f>
        <v>#NAME?</v>
      </c>
      <c r="H95" s="955" t="e">
        <f ca="1">_xll.BDP($C95,H$83)</f>
        <v>#NAME?</v>
      </c>
    </row>
    <row r="96" spans="2:8" ht="15" customHeight="1">
      <c r="B96" s="437" t="s">
        <v>858</v>
      </c>
      <c r="C96" s="932" t="s">
        <v>2029</v>
      </c>
      <c r="D96" s="932" t="e">
        <f ca="1">_xll.BDP($C96,D$83)</f>
        <v>#NAME?</v>
      </c>
      <c r="E96" s="932" t="e">
        <f ca="1">_xll.BDP($C96,E$83)</f>
        <v>#NAME?</v>
      </c>
      <c r="F96" s="968" t="e">
        <f ca="1">IF(C96="","",_xll.BDH($C96,F$83,$F$81,$F$81))</f>
        <v>#NAME?</v>
      </c>
      <c r="G96" s="71" t="e">
        <f ca="1">IF(C96="","",_xll.BDH($C96,G$83,$F$81,$F$81))</f>
        <v>#NAME?</v>
      </c>
      <c r="H96" s="955" t="e">
        <f ca="1">_xll.BDP($C96,H$83)</f>
        <v>#NAME?</v>
      </c>
    </row>
    <row r="97" spans="2:8">
      <c r="B97" s="437" t="s">
        <v>859</v>
      </c>
      <c r="C97" s="932" t="s">
        <v>3449</v>
      </c>
      <c r="D97" s="932" t="e">
        <f ca="1">_xll.BDP($C97,D$83)</f>
        <v>#NAME?</v>
      </c>
      <c r="E97" s="932" t="e">
        <f ca="1">_xll.BDP($C97,E$83)</f>
        <v>#NAME?</v>
      </c>
      <c r="F97" s="968" t="e">
        <f ca="1">IF(C97="","",_xll.BDH($C97,F$83,$F$81,$F$81))</f>
        <v>#NAME?</v>
      </c>
      <c r="G97" s="71" t="e">
        <f ca="1">IF(C97="","",_xll.BDH($C97,G$83,$F$81,$F$81))</f>
        <v>#NAME?</v>
      </c>
      <c r="H97" s="955" t="e">
        <f ca="1">_xll.BDP($C97,H$83)</f>
        <v>#NAME?</v>
      </c>
    </row>
    <row r="98" spans="2:8">
      <c r="B98" s="437" t="s">
        <v>860</v>
      </c>
      <c r="C98" s="932" t="s">
        <v>3450</v>
      </c>
      <c r="D98" s="932" t="e">
        <f ca="1">_xll.BDP($C98,D$83)</f>
        <v>#NAME?</v>
      </c>
      <c r="E98" s="932" t="e">
        <f ca="1">_xll.BDP($C98,E$83)</f>
        <v>#NAME?</v>
      </c>
      <c r="F98" s="968" t="e">
        <f ca="1">IF(C98="","",_xll.BDH($C98,F$83,$F$81,$F$81))</f>
        <v>#NAME?</v>
      </c>
      <c r="G98" s="71" t="e">
        <f ca="1">IF(C98="","",_xll.BDH($C98,G$83,$F$81,$F$81))</f>
        <v>#NAME?</v>
      </c>
      <c r="H98" s="955" t="e">
        <f ca="1">_xll.BDP($C98,H$83)</f>
        <v>#NAME?</v>
      </c>
    </row>
    <row r="99" spans="2:8">
      <c r="B99" s="437" t="s">
        <v>861</v>
      </c>
      <c r="C99" s="932" t="s">
        <v>2211</v>
      </c>
      <c r="D99" s="932" t="e">
        <f ca="1">_xll.BDP($C99,D$83)</f>
        <v>#NAME?</v>
      </c>
      <c r="E99" s="932" t="e">
        <f ca="1">_xll.BDP($C99,E$83)</f>
        <v>#NAME?</v>
      </c>
      <c r="F99" s="968" t="e">
        <f ca="1">IF(C99="","",_xll.BDH($C99,F$83,$F$81,$F$81))</f>
        <v>#NAME?</v>
      </c>
      <c r="G99" s="71" t="e">
        <f ca="1">IF(C99="","",_xll.BDH($C99,G$83,$F$81,$F$81))</f>
        <v>#NAME?</v>
      </c>
      <c r="H99" s="955" t="e">
        <f ca="1">_xll.BDP($C99,H$83)</f>
        <v>#NAME?</v>
      </c>
    </row>
    <row r="100" spans="2:8">
      <c r="B100" s="437" t="s">
        <v>862</v>
      </c>
      <c r="C100" s="932" t="s">
        <v>2212</v>
      </c>
      <c r="D100" s="932" t="e">
        <f ca="1">_xll.BDP($C100,D$83)</f>
        <v>#NAME?</v>
      </c>
      <c r="E100" s="932" t="e">
        <f ca="1">_xll.BDP($C100,E$83)</f>
        <v>#NAME?</v>
      </c>
      <c r="F100" s="968" t="e">
        <f ca="1">IF(C100="","",_xll.BDH($C100,F$83,$F$81,$F$81))</f>
        <v>#NAME?</v>
      </c>
      <c r="G100" s="71" t="e">
        <f ca="1">IF(C100="","",_xll.BDH($C100,G$83,$F$81,$F$81))</f>
        <v>#NAME?</v>
      </c>
      <c r="H100" s="955" t="e">
        <f ca="1">_xll.BDP($C100,H$83)</f>
        <v>#NAME?</v>
      </c>
    </row>
    <row r="101" spans="2:8">
      <c r="B101" s="437" t="s">
        <v>1405</v>
      </c>
      <c r="C101" s="932" t="s">
        <v>2213</v>
      </c>
      <c r="D101" s="932" t="e">
        <f ca="1">_xll.BDP($C101,D$83)</f>
        <v>#NAME?</v>
      </c>
      <c r="E101" s="932" t="e">
        <f ca="1">_xll.BDP($C101,E$83)</f>
        <v>#NAME?</v>
      </c>
      <c r="F101" s="968" t="e">
        <f ca="1">IF(C101="","",_xll.BDH($C101,F$83,$F$81,$F$81))</f>
        <v>#NAME?</v>
      </c>
      <c r="G101" s="71" t="e">
        <f ca="1">IF(C101="","",_xll.BDH($C101,G$83,$F$81,$F$81))</f>
        <v>#NAME?</v>
      </c>
      <c r="H101" s="955" t="e">
        <f ca="1">_xll.BDP($C101,H$83)</f>
        <v>#NAME?</v>
      </c>
    </row>
    <row r="102" spans="2:8">
      <c r="B102" s="437" t="s">
        <v>863</v>
      </c>
      <c r="C102" s="932" t="s">
        <v>2209</v>
      </c>
      <c r="D102" s="932" t="e">
        <f ca="1">_xll.BDP($C102,D$83)</f>
        <v>#NAME?</v>
      </c>
      <c r="E102" s="932" t="e">
        <f ca="1">_xll.BDP($C102,E$83)</f>
        <v>#NAME?</v>
      </c>
      <c r="F102" s="968" t="e">
        <f ca="1">IF(C102="","",_xll.BDH($C102,F$83,$F$81,$F$81))</f>
        <v>#NAME?</v>
      </c>
      <c r="G102" s="71" t="e">
        <f ca="1">IF(C102="","",_xll.BDH($C102,G$83,$F$81,$F$81))</f>
        <v>#NAME?</v>
      </c>
      <c r="H102" s="955" t="e">
        <f ca="1">_xll.BDP($C102,H$83)</f>
        <v>#NAME?</v>
      </c>
    </row>
    <row r="103" spans="2:8">
      <c r="B103" s="437"/>
      <c r="C103" s="932"/>
      <c r="D103" s="932"/>
      <c r="E103" s="932"/>
      <c r="F103" s="968"/>
      <c r="G103" s="71"/>
      <c r="H103" s="955"/>
    </row>
    <row r="104" spans="2:8">
      <c r="B104" s="437"/>
      <c r="C104" s="932"/>
      <c r="D104" s="932"/>
      <c r="E104" s="932"/>
      <c r="F104" s="968"/>
      <c r="G104" s="71"/>
      <c r="H104" s="955"/>
    </row>
    <row r="105" spans="2:8" ht="15.75">
      <c r="B105" s="437"/>
      <c r="C105" s="339"/>
      <c r="D105" s="86"/>
      <c r="E105" s="27"/>
      <c r="F105" s="968"/>
      <c r="G105" s="790"/>
      <c r="H105" s="956"/>
    </row>
    <row r="106" spans="2:8" ht="15.75">
      <c r="B106" s="437"/>
      <c r="C106" s="339"/>
      <c r="D106" s="86" t="str">
        <f>IF(C106="","",_xll.BDP(C106,$D$83))</f>
        <v/>
      </c>
      <c r="E106" s="27" t="str">
        <f>IF(C106="","",_xll.BDP($C106,E$83))</f>
        <v/>
      </c>
      <c r="F106" s="969"/>
      <c r="G106" s="918"/>
      <c r="H106" s="957"/>
    </row>
    <row r="107" spans="2:8" ht="15.75">
      <c r="B107" s="949"/>
      <c r="C107" s="822"/>
      <c r="D107" s="958" t="str">
        <f>IF(C107="","",_xll.BDP(C107,$D$83))</f>
        <v/>
      </c>
      <c r="E107" s="960" t="str">
        <f>IF(C107="","",_xll.BDP($C107,E$83))</f>
        <v/>
      </c>
      <c r="F107" s="970"/>
      <c r="G107" s="961"/>
      <c r="H107" s="959"/>
    </row>
    <row r="108" spans="2:8">
      <c r="F108" s="2035" t="s">
        <v>2030</v>
      </c>
      <c r="G108" s="1665"/>
      <c r="H108" s="1666"/>
    </row>
    <row r="109" spans="2:8" ht="15.75">
      <c r="B109" s="1662"/>
      <c r="C109" s="1664"/>
      <c r="D109" s="1648"/>
      <c r="E109" s="1264"/>
      <c r="F109" s="1264"/>
      <c r="G109" s="1651"/>
      <c r="H109" s="1667"/>
    </row>
    <row r="110" spans="2:8" ht="18.75">
      <c r="B110" s="1668" t="s">
        <v>1690</v>
      </c>
      <c r="C110" s="1664"/>
      <c r="D110" s="1648"/>
      <c r="E110" s="1264"/>
      <c r="F110" s="1264"/>
      <c r="G110" s="1651"/>
      <c r="H110" s="1667"/>
    </row>
    <row r="111" spans="2:8" ht="18.75">
      <c r="B111" s="1669" t="s">
        <v>1654</v>
      </c>
      <c r="C111" s="1664"/>
      <c r="D111" s="1648"/>
      <c r="E111" s="1264"/>
      <c r="F111" s="1264"/>
      <c r="G111" s="1651"/>
      <c r="H111" s="1667"/>
    </row>
    <row r="112" spans="2:8" ht="15.75">
      <c r="B112" s="1662"/>
      <c r="C112" s="1664"/>
      <c r="D112" s="1648"/>
      <c r="E112" s="1264"/>
      <c r="F112" s="1264"/>
      <c r="G112" s="1651"/>
      <c r="H112" s="1667"/>
    </row>
    <row r="113" spans="2:16">
      <c r="D113" s="1194" t="s">
        <v>1639</v>
      </c>
      <c r="E113" s="1194" t="s">
        <v>1640</v>
      </c>
      <c r="F113" s="1194" t="s">
        <v>1641</v>
      </c>
      <c r="J113" s="1412"/>
    </row>
    <row r="114" spans="2:16" ht="18.75">
      <c r="B114" s="1670" t="s">
        <v>1683</v>
      </c>
      <c r="C114" s="1671" t="s">
        <v>1693</v>
      </c>
      <c r="D114" s="1672" t="s">
        <v>1638</v>
      </c>
      <c r="I114" s="1673"/>
      <c r="K114" s="1674" t="s">
        <v>1687</v>
      </c>
    </row>
    <row r="115" spans="2:16">
      <c r="B115" s="1675" t="s">
        <v>1689</v>
      </c>
      <c r="C115" s="1194" t="s">
        <v>1558</v>
      </c>
      <c r="D115" s="1676" t="s">
        <v>1698</v>
      </c>
      <c r="I115" s="1677" t="s">
        <v>1692</v>
      </c>
      <c r="J115" s="1678" t="s">
        <v>1796</v>
      </c>
      <c r="M115" s="1679" t="s">
        <v>1797</v>
      </c>
      <c r="N115" s="1679" t="s">
        <v>1798</v>
      </c>
      <c r="O115" s="1679" t="s">
        <v>1799</v>
      </c>
      <c r="P115" s="1679" t="s">
        <v>1800</v>
      </c>
    </row>
    <row r="116" spans="2:16" ht="15.75">
      <c r="B116" s="1379" t="str">
        <f>C116&amp;D116&amp;" index"</f>
        <v>YCGT0018 index</v>
      </c>
      <c r="C116" s="1379" t="s">
        <v>1559</v>
      </c>
      <c r="D116" s="1733">
        <v>18</v>
      </c>
      <c r="F116" s="1204"/>
      <c r="I116" s="1734" t="s">
        <v>1560</v>
      </c>
      <c r="J116" s="1735" t="s">
        <v>426</v>
      </c>
      <c r="K116" s="1379" t="s">
        <v>1686</v>
      </c>
      <c r="M116" s="985" t="s">
        <v>1614</v>
      </c>
      <c r="N116" s="986" t="s">
        <v>1615</v>
      </c>
      <c r="O116" s="987" t="s">
        <v>1616</v>
      </c>
      <c r="P116" s="988" t="s">
        <v>1682</v>
      </c>
    </row>
    <row r="117" spans="2:16">
      <c r="B117" s="976" t="e">
        <f>_xll.BDS(B116,"CURVE_TENOR_RATES","cols=6;rows=16")</f>
        <v>#N/A</v>
      </c>
      <c r="C117" s="977" t="s">
        <v>2176</v>
      </c>
      <c r="D117" s="971">
        <v>-0.13300000000000001</v>
      </c>
      <c r="E117" s="882">
        <v>-0.13300000000000001</v>
      </c>
      <c r="F117" s="920">
        <v>-0.13300000000000001</v>
      </c>
      <c r="G117" s="964">
        <v>42881</v>
      </c>
      <c r="H117" s="886"/>
      <c r="I117" s="846" t="e">
        <f ca="1">IF(C117="","",_xll.BDP(C117,$I$116))</f>
        <v>#NAME?</v>
      </c>
      <c r="J117" s="1381" t="e">
        <f ca="1">IF(C117="","",_xll.BDP(C117,$J$116))</f>
        <v>#NAME?</v>
      </c>
      <c r="K117" s="927" t="e">
        <f ca="1">IF(C117="","",_xll.BDP(C117,"YRS_TO_LONGEST_AVG_LIFE"))</f>
        <v>#NAME?</v>
      </c>
      <c r="M117" s="989">
        <f>D117</f>
        <v>-0.13300000000000001</v>
      </c>
      <c r="N117" s="845">
        <f t="shared" ref="N117:N132" si="0">D143</f>
        <v>-0.11</v>
      </c>
      <c r="O117" s="881">
        <f>IF(M117="","",(M117-N117)*100)</f>
        <v>-2.3000000000000007</v>
      </c>
      <c r="P117" s="990" t="e">
        <f t="shared" ref="P117:P132" si="1">B117</f>
        <v>#N/A</v>
      </c>
    </row>
    <row r="118" spans="2:16">
      <c r="B118" s="962" t="s">
        <v>850</v>
      </c>
      <c r="C118" s="884" t="s">
        <v>2177</v>
      </c>
      <c r="D118" s="972">
        <v>-0.13100000000000001</v>
      </c>
      <c r="E118" s="920">
        <v>-0.13100000000000001</v>
      </c>
      <c r="F118" s="920">
        <v>-0.13</v>
      </c>
      <c r="G118" s="883">
        <v>42881</v>
      </c>
      <c r="H118" s="887"/>
      <c r="I118" s="884" t="e">
        <f ca="1">IF(C118="","",_xll.BDP($C118,$I$116))</f>
        <v>#NAME?</v>
      </c>
      <c r="J118" s="1381" t="e">
        <f ca="1">IF(C118="","",_xll.BDP(C118,$J$116))</f>
        <v>#NAME?</v>
      </c>
      <c r="K118" s="927" t="e">
        <f ca="1">IF(C118="","",_xll.BDP(C118,"YRS_TO_LONGEST_AVG_LIFE"))</f>
        <v>#NAME?</v>
      </c>
      <c r="M118" s="989">
        <f t="shared" ref="M118:M132" si="2">D118</f>
        <v>-0.13100000000000001</v>
      </c>
      <c r="N118" s="845">
        <f t="shared" si="0"/>
        <v>-0.14799999999999999</v>
      </c>
      <c r="O118" s="881">
        <f t="shared" ref="O118:O137" si="3">IF(M118="","",(M118-N118)*100)</f>
        <v>1.6999999999999988</v>
      </c>
      <c r="P118" s="990" t="str">
        <f t="shared" si="1"/>
        <v>6M</v>
      </c>
    </row>
    <row r="119" spans="2:16">
      <c r="B119" s="919" t="s">
        <v>851</v>
      </c>
      <c r="C119" s="884" t="s">
        <v>2178</v>
      </c>
      <c r="D119" s="972">
        <v>-0.182</v>
      </c>
      <c r="E119" s="920">
        <v>-0.17699999999999999</v>
      </c>
      <c r="F119" s="920">
        <v>-0.17199999999999999</v>
      </c>
      <c r="G119" s="883">
        <v>42881</v>
      </c>
      <c r="H119" s="883"/>
      <c r="I119" s="884" t="e">
        <f ca="1">IF(C119="","",_xll.BDP($C119,$I$116))</f>
        <v>#NAME?</v>
      </c>
      <c r="J119" s="1381" t="e">
        <f ca="1">IF(C119="","",_xll.BDP(C119,$J$116))</f>
        <v>#NAME?</v>
      </c>
      <c r="K119" s="927" t="e">
        <f ca="1">IF(C119="","",_xll.BDP(C119,"YRS_TO_LONGEST_AVG_LIFE"))</f>
        <v>#NAME?</v>
      </c>
      <c r="M119" s="989">
        <f t="shared" si="2"/>
        <v>-0.182</v>
      </c>
      <c r="N119" s="845">
        <f t="shared" si="0"/>
        <v>-0.20100000000000001</v>
      </c>
      <c r="O119" s="881">
        <f t="shared" si="3"/>
        <v>1.9000000000000017</v>
      </c>
      <c r="P119" s="990" t="str">
        <f t="shared" si="1"/>
        <v>1Y</v>
      </c>
    </row>
    <row r="120" spans="2:16">
      <c r="B120" s="919" t="s">
        <v>852</v>
      </c>
      <c r="C120" s="884" t="s">
        <v>2179</v>
      </c>
      <c r="D120" s="972">
        <v>-0.17199999999999999</v>
      </c>
      <c r="E120" s="920">
        <v>-0.16700000000000001</v>
      </c>
      <c r="F120" s="920">
        <v>-0.16200000000000001</v>
      </c>
      <c r="G120" s="296">
        <v>42881</v>
      </c>
      <c r="H120" s="883"/>
      <c r="I120" s="884" t="e">
        <f ca="1">IF(C120="","",_xll.BDP($C120,$I$116))</f>
        <v>#NAME?</v>
      </c>
      <c r="J120" s="1381" t="e">
        <f ca="1">IF(C120="","",_xll.BDP(C120,$J$116))</f>
        <v>#NAME?</v>
      </c>
      <c r="K120" s="927" t="e">
        <f ca="1">IF(C120="","",_xll.BDP(C120,"YRS_TO_LONGEST_AVG_LIFE"))</f>
        <v>#NAME?</v>
      </c>
      <c r="M120" s="989">
        <f t="shared" si="2"/>
        <v>-0.17199999999999999</v>
      </c>
      <c r="N120" s="845">
        <f t="shared" si="0"/>
        <v>-0.20399999999999999</v>
      </c>
      <c r="O120" s="881">
        <f t="shared" si="3"/>
        <v>3.2</v>
      </c>
      <c r="P120" s="990" t="str">
        <f t="shared" si="1"/>
        <v>2Y</v>
      </c>
    </row>
    <row r="121" spans="2:16">
      <c r="B121" s="919" t="s">
        <v>853</v>
      </c>
      <c r="C121" s="884" t="s">
        <v>2180</v>
      </c>
      <c r="D121" s="972">
        <v>-0.157</v>
      </c>
      <c r="E121" s="920">
        <v>-0.14899999999999999</v>
      </c>
      <c r="F121" s="920">
        <v>-0.14000000000000001</v>
      </c>
      <c r="G121" s="296">
        <v>42881</v>
      </c>
      <c r="H121" s="883"/>
      <c r="I121" s="884" t="e">
        <f ca="1">IF(C121="","",_xll.BDP($C121,$I$116))</f>
        <v>#NAME?</v>
      </c>
      <c r="J121" s="1381" t="e">
        <f ca="1">IF(C121="","",_xll.BDP(C121,$J$116))</f>
        <v>#NAME?</v>
      </c>
      <c r="K121" s="927" t="e">
        <f ca="1">IF(C121="","",_xll.BDP(C121,"YRS_TO_LONGEST_AVG_LIFE"))</f>
        <v>#NAME?</v>
      </c>
      <c r="M121" s="989">
        <f t="shared" si="2"/>
        <v>-0.157</v>
      </c>
      <c r="N121" s="845">
        <f t="shared" si="0"/>
        <v>-0.21099999999999999</v>
      </c>
      <c r="O121" s="881">
        <f t="shared" si="3"/>
        <v>5.3999999999999995</v>
      </c>
      <c r="P121" s="990" t="str">
        <f t="shared" si="1"/>
        <v>3Y</v>
      </c>
    </row>
    <row r="122" spans="2:16">
      <c r="B122" s="919" t="s">
        <v>854</v>
      </c>
      <c r="C122" s="884" t="s">
        <v>1588</v>
      </c>
      <c r="D122" s="972">
        <v>-0.13200000000000001</v>
      </c>
      <c r="E122" s="920">
        <v>-0.127</v>
      </c>
      <c r="F122" s="920">
        <v>-0.122</v>
      </c>
      <c r="G122" s="296">
        <v>42881</v>
      </c>
      <c r="H122" s="883"/>
      <c r="I122" s="884" t="e">
        <f ca="1">IF(C122="","",_xll.BDP($C122,$I$116))</f>
        <v>#NAME?</v>
      </c>
      <c r="J122" s="1381" t="e">
        <f ca="1">IF(C122="","",_xll.BDP(C122,$J$116))</f>
        <v>#NAME?</v>
      </c>
      <c r="K122" s="927" t="e">
        <f ca="1">IF(C122="","",_xll.BDP(C122,"YRS_TO_LONGEST_AVG_LIFE"))</f>
        <v>#NAME?</v>
      </c>
      <c r="M122" s="989">
        <f t="shared" si="2"/>
        <v>-0.13200000000000001</v>
      </c>
      <c r="N122" s="845">
        <f t="shared" si="0"/>
        <v>-0.20100000000000001</v>
      </c>
      <c r="O122" s="881">
        <f t="shared" si="3"/>
        <v>6.9</v>
      </c>
      <c r="P122" s="990" t="str">
        <f t="shared" si="1"/>
        <v>4Y</v>
      </c>
    </row>
    <row r="123" spans="2:16">
      <c r="B123" s="919" t="s">
        <v>855</v>
      </c>
      <c r="C123" s="884" t="s">
        <v>2181</v>
      </c>
      <c r="D123" s="972">
        <v>-0.128</v>
      </c>
      <c r="E123" s="920">
        <v>-0.121</v>
      </c>
      <c r="F123" s="920">
        <v>-0.115</v>
      </c>
      <c r="G123" s="296">
        <v>42881</v>
      </c>
      <c r="H123" s="883"/>
      <c r="I123" s="884" t="e">
        <f ca="1">IF(C123="","",_xll.BDP($C123,$I$116))</f>
        <v>#NAME?</v>
      </c>
      <c r="J123" s="1381" t="e">
        <f ca="1">IF(C123="","",_xll.BDP(C123,$J$116))</f>
        <v>#NAME?</v>
      </c>
      <c r="K123" s="927" t="e">
        <f ca="1">IF(C123="","",_xll.BDP(C123,"YRS_TO_LONGEST_AVG_LIFE"))</f>
        <v>#NAME?</v>
      </c>
      <c r="M123" s="989">
        <f t="shared" si="2"/>
        <v>-0.128</v>
      </c>
      <c r="N123" s="845">
        <f t="shared" si="0"/>
        <v>-0.16700000000000001</v>
      </c>
      <c r="O123" s="881">
        <f t="shared" si="3"/>
        <v>3.9000000000000008</v>
      </c>
      <c r="P123" s="990" t="str">
        <f t="shared" si="1"/>
        <v>5Y</v>
      </c>
    </row>
    <row r="124" spans="2:16">
      <c r="B124" s="919" t="s">
        <v>856</v>
      </c>
      <c r="C124" s="884" t="s">
        <v>1590</v>
      </c>
      <c r="D124" s="972">
        <v>-0.107</v>
      </c>
      <c r="E124" s="920">
        <v>-0.1</v>
      </c>
      <c r="F124" s="920">
        <v>-9.2999999999999999E-2</v>
      </c>
      <c r="G124" s="296">
        <v>42881</v>
      </c>
      <c r="H124" s="883"/>
      <c r="I124" s="884" t="e">
        <f ca="1">IF(C124="","",_xll.BDP($C124,$I$116))</f>
        <v>#NAME?</v>
      </c>
      <c r="J124" s="1381" t="e">
        <f ca="1">IF(C124="","",_xll.BDP(C124,$J$116))</f>
        <v>#NAME?</v>
      </c>
      <c r="K124" s="927" t="e">
        <f ca="1">IF(C124="","",_xll.BDP(C124,"YRS_TO_LONGEST_AVG_LIFE"))</f>
        <v>#NAME?</v>
      </c>
      <c r="M124" s="989">
        <f t="shared" si="2"/>
        <v>-0.107</v>
      </c>
      <c r="N124" s="845">
        <f t="shared" si="0"/>
        <v>-0.16700000000000001</v>
      </c>
      <c r="O124" s="881">
        <f t="shared" si="3"/>
        <v>6.0000000000000009</v>
      </c>
      <c r="P124" s="990" t="str">
        <f t="shared" si="1"/>
        <v>6Y</v>
      </c>
    </row>
    <row r="125" spans="2:16">
      <c r="B125" s="919" t="s">
        <v>857</v>
      </c>
      <c r="C125" s="884" t="s">
        <v>1569</v>
      </c>
      <c r="D125" s="972">
        <v>-7.9000000000000001E-2</v>
      </c>
      <c r="E125" s="920">
        <v>-7.1999999999999995E-2</v>
      </c>
      <c r="F125" s="920">
        <v>-6.5000000000000002E-2</v>
      </c>
      <c r="G125" s="296">
        <v>42881</v>
      </c>
      <c r="H125" s="883"/>
      <c r="I125" s="884" t="e">
        <f ca="1">IF(C125="","",_xll.BDP($C125,$I$116))</f>
        <v>#NAME?</v>
      </c>
      <c r="J125" s="1381" t="e">
        <f ca="1">IF(C125="","",_xll.BDP(C125,$J$116))</f>
        <v>#NAME?</v>
      </c>
      <c r="K125" s="927" t="e">
        <f ca="1">IF(C125="","",_xll.BDP(C125,"YRS_TO_LONGEST_AVG_LIFE"))</f>
        <v>#NAME?</v>
      </c>
      <c r="M125" s="989">
        <f t="shared" si="2"/>
        <v>-7.9000000000000001E-2</v>
      </c>
      <c r="N125" s="845">
        <f t="shared" si="0"/>
        <v>-0.154</v>
      </c>
      <c r="O125" s="881">
        <f t="shared" si="3"/>
        <v>7.5</v>
      </c>
      <c r="P125" s="990" t="str">
        <f t="shared" si="1"/>
        <v>7Y</v>
      </c>
    </row>
    <row r="126" spans="2:16">
      <c r="B126" s="919" t="s">
        <v>858</v>
      </c>
      <c r="C126" s="884" t="s">
        <v>2182</v>
      </c>
      <c r="D126" s="972">
        <v>-4.4999999999999998E-2</v>
      </c>
      <c r="E126" s="920">
        <v>-3.7999999999999999E-2</v>
      </c>
      <c r="F126" s="920">
        <v>-3.1E-2</v>
      </c>
      <c r="G126" s="296">
        <v>42881</v>
      </c>
      <c r="H126" s="883"/>
      <c r="I126" s="884" t="e">
        <f ca="1">IF(C126="","",_xll.BDP($C126,$I$116))</f>
        <v>#NAME?</v>
      </c>
      <c r="J126" s="1381" t="e">
        <f ca="1">IF(C126="","",_xll.BDP(C126,$J$116))</f>
        <v>#NAME?</v>
      </c>
      <c r="K126" s="927" t="e">
        <f ca="1">IF(C126="","",_xll.BDP(C126,"YRS_TO_LONGEST_AVG_LIFE"))</f>
        <v>#NAME?</v>
      </c>
      <c r="M126" s="989">
        <f t="shared" si="2"/>
        <v>-4.4999999999999998E-2</v>
      </c>
      <c r="N126" s="845">
        <f t="shared" si="0"/>
        <v>-0.124</v>
      </c>
      <c r="O126" s="881">
        <f t="shared" si="3"/>
        <v>7.9</v>
      </c>
      <c r="P126" s="990" t="str">
        <f t="shared" si="1"/>
        <v>8Y</v>
      </c>
    </row>
    <row r="127" spans="2:16">
      <c r="B127" s="919" t="s">
        <v>859</v>
      </c>
      <c r="C127" s="884" t="s">
        <v>2183</v>
      </c>
      <c r="D127" s="972">
        <v>-5.0000000000000001E-3</v>
      </c>
      <c r="E127" s="920">
        <v>2E-3</v>
      </c>
      <c r="F127" s="920">
        <v>8.0000000000000002E-3</v>
      </c>
      <c r="G127" s="296">
        <v>42881</v>
      </c>
      <c r="H127" s="883"/>
      <c r="I127" s="884" t="e">
        <f ca="1">IF(C127="","",_xll.BDP($C127,$I$116))</f>
        <v>#NAME?</v>
      </c>
      <c r="J127" s="1381" t="e">
        <f ca="1">IF(C127="","",_xll.BDP(C127,$J$116))</f>
        <v>#NAME?</v>
      </c>
      <c r="K127" s="927" t="e">
        <f ca="1">IF(C127="","",_xll.BDP(C127,"YRS_TO_LONGEST_AVG_LIFE"))</f>
        <v>#NAME?</v>
      </c>
      <c r="M127" s="989">
        <f t="shared" si="2"/>
        <v>-5.0000000000000001E-3</v>
      </c>
      <c r="N127" s="845">
        <f t="shared" si="0"/>
        <v>-6.4000000000000001E-2</v>
      </c>
      <c r="O127" s="881">
        <f t="shared" si="3"/>
        <v>5.9</v>
      </c>
      <c r="P127" s="990" t="str">
        <f t="shared" si="1"/>
        <v>9Y</v>
      </c>
    </row>
    <row r="128" spans="2:16">
      <c r="B128" s="919" t="s">
        <v>860</v>
      </c>
      <c r="C128" s="884" t="s">
        <v>2184</v>
      </c>
      <c r="D128" s="972">
        <v>3.2000000000000001E-2</v>
      </c>
      <c r="E128" s="920">
        <v>3.6999999999999998E-2</v>
      </c>
      <c r="F128" s="920">
        <v>4.2000000000000003E-2</v>
      </c>
      <c r="G128" s="296">
        <v>42881</v>
      </c>
      <c r="H128" s="884"/>
      <c r="I128" s="884" t="e">
        <f ca="1">IF(C128="","",_xll.BDP($C128,$I$116))</f>
        <v>#NAME?</v>
      </c>
      <c r="J128" s="1381" t="e">
        <f ca="1">IF(C128="","",_xll.BDP(C128,$J$116))</f>
        <v>#NAME?</v>
      </c>
      <c r="K128" s="927" t="e">
        <f ca="1">IF(C128="","",_xll.BDP(C128,"YRS_TO_LONGEST_AVG_LIFE"))</f>
        <v>#NAME?</v>
      </c>
      <c r="M128" s="989">
        <f t="shared" si="2"/>
        <v>3.2000000000000001E-2</v>
      </c>
      <c r="N128" s="845">
        <f t="shared" si="0"/>
        <v>-1E-3</v>
      </c>
      <c r="O128" s="881">
        <f t="shared" si="3"/>
        <v>3.3000000000000003</v>
      </c>
      <c r="P128" s="990" t="str">
        <f t="shared" si="1"/>
        <v>10Y</v>
      </c>
    </row>
    <row r="129" spans="2:16">
      <c r="B129" s="919" t="s">
        <v>861</v>
      </c>
      <c r="C129" s="884" t="s">
        <v>2185</v>
      </c>
      <c r="D129" s="972">
        <v>0.25800000000000001</v>
      </c>
      <c r="E129" s="920">
        <v>0.26300000000000001</v>
      </c>
      <c r="F129" s="920">
        <v>0.26800000000000002</v>
      </c>
      <c r="G129" s="296">
        <v>42881</v>
      </c>
      <c r="H129" s="884"/>
      <c r="I129" s="884" t="e">
        <f ca="1">IF(C129="","",_xll.BDP($C129,$I$116))</f>
        <v>#NAME?</v>
      </c>
      <c r="J129" s="1381" t="e">
        <f ca="1">IF(C129="","",_xll.BDP(C129,$J$116))</f>
        <v>#NAME?</v>
      </c>
      <c r="K129" s="927" t="e">
        <f ca="1">IF(C129="","",_xll.BDP(C129,"YRS_TO_LONGEST_AVG_LIFE"))</f>
        <v>#NAME?</v>
      </c>
      <c r="M129" s="989">
        <f t="shared" si="2"/>
        <v>0.25800000000000001</v>
      </c>
      <c r="N129" s="845">
        <f t="shared" si="0"/>
        <v>0.29299999999999998</v>
      </c>
      <c r="O129" s="881">
        <f t="shared" si="3"/>
        <v>-3.4999999999999973</v>
      </c>
      <c r="P129" s="990" t="str">
        <f t="shared" si="1"/>
        <v>15Y</v>
      </c>
    </row>
    <row r="130" spans="2:16">
      <c r="B130" s="919" t="s">
        <v>862</v>
      </c>
      <c r="C130" s="884" t="s">
        <v>2186</v>
      </c>
      <c r="D130" s="972">
        <v>0.54500000000000004</v>
      </c>
      <c r="E130" s="920">
        <v>0.55000000000000004</v>
      </c>
      <c r="F130" s="920">
        <v>0.55500000000000005</v>
      </c>
      <c r="G130" s="296">
        <v>42881</v>
      </c>
      <c r="H130" s="884"/>
      <c r="I130" s="884" t="e">
        <f ca="1">IF(C130="","",_xll.BDP($C130,$I$116))</f>
        <v>#NAME?</v>
      </c>
      <c r="J130" s="1381" t="e">
        <f ca="1">IF(C130="","",_xll.BDP(C130,$J$116))</f>
        <v>#NAME?</v>
      </c>
      <c r="K130" s="927" t="e">
        <f ca="1">IF(C130="","",_xll.BDP(C130,"YRS_TO_LONGEST_AVG_LIFE"))</f>
        <v>#NAME?</v>
      </c>
      <c r="M130" s="989">
        <f t="shared" si="2"/>
        <v>0.54500000000000004</v>
      </c>
      <c r="N130" s="845">
        <f t="shared" si="0"/>
        <v>0.70499999999999996</v>
      </c>
      <c r="O130" s="881">
        <f t="shared" si="3"/>
        <v>-15.999999999999993</v>
      </c>
      <c r="P130" s="990" t="str">
        <f t="shared" si="1"/>
        <v>20Y</v>
      </c>
    </row>
    <row r="131" spans="2:16">
      <c r="B131" s="919" t="s">
        <v>863</v>
      </c>
      <c r="C131" s="884" t="s">
        <v>2187</v>
      </c>
      <c r="D131" s="972">
        <v>0.78300000000000003</v>
      </c>
      <c r="E131" s="920">
        <v>0.79100000000000004</v>
      </c>
      <c r="F131" s="920">
        <v>0.79900000000000004</v>
      </c>
      <c r="G131" s="296">
        <v>42881</v>
      </c>
      <c r="H131" s="884"/>
      <c r="I131" s="884" t="e">
        <f ca="1">IF(C131="","",_xll.BDP($C131,$I$116))</f>
        <v>#NAME?</v>
      </c>
      <c r="J131" s="1381" t="e">
        <f ca="1">IF(C131="","",_xll.BDP(C131,$J$116))</f>
        <v>#NAME?</v>
      </c>
      <c r="K131" s="927" t="e">
        <f ca="1">IF(C131="","",_xll.BDP(C131,"YRS_TO_LONGEST_AVG_LIFE"))</f>
        <v>#NAME?</v>
      </c>
      <c r="M131" s="989">
        <f t="shared" si="2"/>
        <v>0.78300000000000003</v>
      </c>
      <c r="N131" s="845">
        <f t="shared" si="0"/>
        <v>1.0049999999999999</v>
      </c>
      <c r="O131" s="881">
        <f t="shared" si="3"/>
        <v>-22.199999999999985</v>
      </c>
      <c r="P131" s="990" t="str">
        <f t="shared" si="1"/>
        <v>30Y</v>
      </c>
    </row>
    <row r="132" spans="2:16">
      <c r="B132" s="919" t="s">
        <v>1565</v>
      </c>
      <c r="C132" s="884" t="s">
        <v>2188</v>
      </c>
      <c r="D132" s="972">
        <v>0.93899999999999995</v>
      </c>
      <c r="E132" s="920">
        <v>0.94599999999999995</v>
      </c>
      <c r="F132" s="920">
        <v>0.95199999999999996</v>
      </c>
      <c r="G132" s="296">
        <v>42881</v>
      </c>
      <c r="H132" s="884"/>
      <c r="I132" s="884" t="e">
        <f ca="1">IF(C132="","",_xll.BDP($C132,$I$116))</f>
        <v>#NAME?</v>
      </c>
      <c r="J132" s="1381" t="e">
        <f ca="1">IF(C132="","",_xll.BDP(C132,$J$116))</f>
        <v>#NAME?</v>
      </c>
      <c r="K132" s="927" t="e">
        <f ca="1">IF(C132="","",_xll.BDP(C132,"YRS_TO_LONGEST_AVG_LIFE"))</f>
        <v>#NAME?</v>
      </c>
      <c r="M132" s="989">
        <f t="shared" si="2"/>
        <v>0.93899999999999995</v>
      </c>
      <c r="N132" s="845">
        <f t="shared" si="0"/>
        <v>1.145</v>
      </c>
      <c r="O132" s="881">
        <f t="shared" si="3"/>
        <v>-20.600000000000009</v>
      </c>
      <c r="P132" s="990" t="str">
        <f t="shared" si="1"/>
        <v>40Y</v>
      </c>
    </row>
    <row r="133" spans="2:16">
      <c r="B133" s="919"/>
      <c r="C133" s="884"/>
      <c r="D133" s="972"/>
      <c r="E133" s="920"/>
      <c r="F133" s="920"/>
      <c r="G133" s="296"/>
      <c r="H133" s="884"/>
      <c r="I133" s="846" t="str">
        <f>IF(C133="","",_xll.BDP($C133,$I$116))</f>
        <v/>
      </c>
      <c r="J133" s="1381" t="str">
        <f>IF(C133="","",_xll.BDP(C133,$J$116))</f>
        <v/>
      </c>
      <c r="K133" s="927" t="str">
        <f>IF(C133="","",_xll.BDP(C133,"YRS_TO_LONGEST_AVG_LIFE"))</f>
        <v/>
      </c>
      <c r="M133" s="989"/>
      <c r="N133" s="845"/>
      <c r="O133" s="881" t="str">
        <f t="shared" si="3"/>
        <v/>
      </c>
      <c r="P133" s="990"/>
    </row>
    <row r="134" spans="2:16">
      <c r="B134" s="919"/>
      <c r="C134" s="884"/>
      <c r="D134" s="972"/>
      <c r="E134" s="920"/>
      <c r="F134" s="920"/>
      <c r="G134" s="296"/>
      <c r="H134" s="884"/>
      <c r="I134" s="846" t="str">
        <f>IF(C134="","",_xll.BDP($C134,$I$116))</f>
        <v/>
      </c>
      <c r="J134" s="1381" t="str">
        <f>IF(C134="","",_xll.BDP(C134,$J$116))</f>
        <v/>
      </c>
      <c r="K134" s="927" t="str">
        <f>IF(C134="","",_xll.BDP(C134,"YRS_TO_LONGEST_AVG_LIFE"))</f>
        <v/>
      </c>
      <c r="M134" s="989"/>
      <c r="N134" s="845"/>
      <c r="O134" s="881" t="str">
        <f t="shared" si="3"/>
        <v/>
      </c>
      <c r="P134" s="990"/>
    </row>
    <row r="135" spans="2:16">
      <c r="B135" s="919"/>
      <c r="C135" s="884"/>
      <c r="D135" s="924"/>
      <c r="E135" s="924"/>
      <c r="F135" s="924"/>
      <c r="G135" s="843"/>
      <c r="H135" s="844"/>
      <c r="I135" s="846" t="str">
        <f>IF(C135="","",_xll.BDP($C135,$I$116))</f>
        <v/>
      </c>
      <c r="J135" s="1381" t="str">
        <f>IF(C135="","",_xll.BDP(C135,$J$116))</f>
        <v/>
      </c>
      <c r="K135" s="927" t="str">
        <f>IF(C135="","",_xll.BDP(C135,"YRS_TO_LONGEST_AVG_LIFE"))</f>
        <v/>
      </c>
      <c r="M135" s="989"/>
      <c r="N135" s="845"/>
      <c r="O135" s="881" t="str">
        <f t="shared" si="3"/>
        <v/>
      </c>
      <c r="P135" s="990"/>
    </row>
    <row r="136" spans="2:16">
      <c r="B136" s="45"/>
      <c r="C136" s="923"/>
      <c r="D136" s="920"/>
      <c r="E136" s="920"/>
      <c r="F136" s="920"/>
      <c r="G136" s="296"/>
      <c r="H136" s="1585"/>
      <c r="I136" s="846" t="str">
        <f>IF(C136="","",_xll.BDP($C136,$I$116))</f>
        <v/>
      </c>
      <c r="J136" s="1381" t="str">
        <f>IF(C136="","",_xll.BDP(C136,$J$116))</f>
        <v/>
      </c>
      <c r="K136" s="927" t="str">
        <f>IF(C136="","",_xll.BDP(C136,"YRS_TO_LONGEST_AVG_LIFE"))</f>
        <v/>
      </c>
      <c r="M136" s="989" t="str">
        <f>IF(F135="","",F135)</f>
        <v/>
      </c>
      <c r="N136" s="845" t="str">
        <f>IF(F162="","",F162)</f>
        <v/>
      </c>
      <c r="O136" s="881" t="str">
        <f t="shared" si="3"/>
        <v/>
      </c>
      <c r="P136" s="990" t="str">
        <f>IF(B162="","",B162)</f>
        <v/>
      </c>
    </row>
    <row r="137" spans="2:16">
      <c r="B137" s="45"/>
      <c r="C137" s="923"/>
      <c r="D137" s="920"/>
      <c r="E137" s="920"/>
      <c r="F137" s="920"/>
      <c r="G137" s="296"/>
      <c r="H137" s="1585"/>
      <c r="I137" s="846" t="str">
        <f>IF(C137="","",_xll.BDP($C137,$I$116))</f>
        <v/>
      </c>
      <c r="J137" s="1381" t="str">
        <f>IF(C137="","",_xll.BDP(C137,$J$116))</f>
        <v/>
      </c>
      <c r="K137" s="927" t="str">
        <f>IF(C137="","",_xll.BDP(C137,"YRS_TO_LONGEST_AVG_LIFE"))</f>
        <v/>
      </c>
      <c r="M137" s="989" t="str">
        <f>IF(F136="","",F136)</f>
        <v/>
      </c>
      <c r="N137" s="845" t="str">
        <f>IF(F163="","",F163)</f>
        <v/>
      </c>
      <c r="O137" s="881" t="str">
        <f t="shared" si="3"/>
        <v/>
      </c>
      <c r="P137" s="990" t="str">
        <f>IF(B163="","",B163)</f>
        <v/>
      </c>
    </row>
    <row r="138" spans="2:16">
      <c r="B138" s="703"/>
      <c r="C138" s="925"/>
      <c r="D138" s="921"/>
      <c r="E138" s="921"/>
      <c r="F138" s="921"/>
      <c r="G138" s="465"/>
      <c r="H138" s="1588"/>
      <c r="I138" s="934" t="str">
        <f>IF(C138="","",_xll.BDP($C138,$I$116))</f>
        <v/>
      </c>
      <c r="J138" s="1382" t="str">
        <f>IF(C138="","",_xll.BDP(C138,$J$116))</f>
        <v/>
      </c>
      <c r="K138" s="975" t="str">
        <f>IF(C138="","",_xll.BDP(C138,"YRS_TO_LONGEST_AVG_LIFE"))</f>
        <v/>
      </c>
      <c r="M138" s="991" t="str">
        <f>IF(F137="","",F137)</f>
        <v/>
      </c>
      <c r="N138" s="992"/>
      <c r="O138" s="992"/>
      <c r="P138" s="993"/>
    </row>
    <row r="139" spans="2:16">
      <c r="I139" s="1194"/>
      <c r="J139" s="1194"/>
    </row>
    <row r="140" spans="2:16" ht="18.75">
      <c r="B140" s="1686" t="s">
        <v>1566</v>
      </c>
      <c r="C140" s="1999" t="s">
        <v>1695</v>
      </c>
      <c r="D140" s="1687" t="s">
        <v>1697</v>
      </c>
      <c r="E140" s="1688"/>
      <c r="F140" s="1689"/>
      <c r="G140" s="1689"/>
      <c r="H140" s="1689"/>
      <c r="I140" s="1683"/>
      <c r="J140" s="1690" t="s">
        <v>1685</v>
      </c>
      <c r="K140" s="1691" t="e">
        <f ca="1">_xll.BToday()</f>
        <v>#NAME?</v>
      </c>
    </row>
    <row r="141" spans="2:16">
      <c r="B141" s="1736" t="s">
        <v>1567</v>
      </c>
      <c r="C141" s="750"/>
      <c r="D141" s="1737">
        <v>20160220</v>
      </c>
      <c r="E141" s="933"/>
      <c r="F141" s="6"/>
      <c r="G141" s="6"/>
      <c r="H141" s="6"/>
      <c r="I141" s="973" t="s">
        <v>1684</v>
      </c>
      <c r="J141" s="76"/>
      <c r="K141" s="974" t="s">
        <v>1688</v>
      </c>
    </row>
    <row r="142" spans="2:16">
      <c r="B142" s="1055" t="s">
        <v>1571</v>
      </c>
      <c r="C142" s="1585"/>
      <c r="D142" s="922"/>
      <c r="E142" s="922"/>
      <c r="F142" s="922"/>
      <c r="G142" s="938"/>
      <c r="H142" s="751"/>
      <c r="I142" s="1585" t="s">
        <v>1560</v>
      </c>
      <c r="J142" s="1585" t="s">
        <v>494</v>
      </c>
      <c r="K142" s="926"/>
    </row>
    <row r="143" spans="2:16">
      <c r="B143" s="1068" t="e">
        <f>_xll.BDS(B142,"CURVE_TENOR_RATES","CURVE_DATE="&amp;D141,"cols=6;rows=16")</f>
        <v>#N/A</v>
      </c>
      <c r="C143" s="884" t="s">
        <v>1696</v>
      </c>
      <c r="D143" s="983">
        <v>-0.11</v>
      </c>
      <c r="E143" s="391">
        <v>-0.104</v>
      </c>
      <c r="F143" s="391">
        <v>-9.8000000000000004E-2</v>
      </c>
      <c r="G143" s="296">
        <v>42419</v>
      </c>
      <c r="H143" s="296">
        <v>42529</v>
      </c>
      <c r="I143" s="846" t="e">
        <f ca="1">IF(C143="","",_xll.BDP(C143,$I$142))</f>
        <v>#NAME?</v>
      </c>
      <c r="J143" s="846" t="e">
        <f ca="1">IF(C143="","",_xll.BDP($C143,J$142))</f>
        <v>#NAME?</v>
      </c>
      <c r="K143" s="927" t="e">
        <f ca="1">(J143-$K$140)/365</f>
        <v>#NAME?</v>
      </c>
    </row>
    <row r="144" spans="2:16">
      <c r="B144" s="45" t="s">
        <v>850</v>
      </c>
      <c r="C144" s="884" t="s">
        <v>1642</v>
      </c>
      <c r="D144" s="983">
        <v>-0.14799999999999999</v>
      </c>
      <c r="E144" s="391">
        <v>-0.14799999999999999</v>
      </c>
      <c r="F144" s="391">
        <v>-0.14799999999999999</v>
      </c>
      <c r="G144" s="296">
        <v>42419</v>
      </c>
      <c r="H144" s="296">
        <v>42529</v>
      </c>
      <c r="I144" s="846" t="e">
        <f ca="1">IF(C144="","",_xll.BDP(C144,$I$142))</f>
        <v>#NAME?</v>
      </c>
      <c r="J144" s="846" t="e">
        <f ca="1">IF(C144="","",_xll.BDP($C144,J$142))</f>
        <v>#NAME?</v>
      </c>
      <c r="K144" s="927" t="e">
        <f t="shared" ref="K144:K158" ca="1" si="4">(J144-$K$140)/365</f>
        <v>#NAME?</v>
      </c>
    </row>
    <row r="145" spans="2:38">
      <c r="B145" s="45" t="s">
        <v>851</v>
      </c>
      <c r="C145" s="923" t="s">
        <v>1643</v>
      </c>
      <c r="D145" s="983">
        <v>-0.20100000000000001</v>
      </c>
      <c r="E145" s="391">
        <v>-0.19600000000000001</v>
      </c>
      <c r="F145" s="391">
        <v>-0.191</v>
      </c>
      <c r="G145" s="296">
        <v>42419</v>
      </c>
      <c r="H145" s="296">
        <v>42529</v>
      </c>
      <c r="I145" s="846" t="e">
        <f ca="1">IF(C145="","",_xll.BDP(C145,$I$142))</f>
        <v>#NAME?</v>
      </c>
      <c r="J145" s="846" t="e">
        <f ca="1">IF(C145="","",_xll.BDP($C145,J$142))</f>
        <v>#NAME?</v>
      </c>
      <c r="K145" s="927" t="e">
        <f t="shared" ca="1" si="4"/>
        <v>#NAME?</v>
      </c>
    </row>
    <row r="146" spans="2:38">
      <c r="B146" s="45" t="s">
        <v>852</v>
      </c>
      <c r="C146" s="923" t="s">
        <v>1644</v>
      </c>
      <c r="D146" s="983">
        <v>-0.20399999999999999</v>
      </c>
      <c r="E146" s="391">
        <v>-0.19900000000000001</v>
      </c>
      <c r="F146" s="391">
        <v>-0.19400000000000001</v>
      </c>
      <c r="G146" s="296">
        <v>42419</v>
      </c>
      <c r="H146" s="296">
        <v>42529</v>
      </c>
      <c r="I146" s="846" t="e">
        <f ca="1">IF(C146="","",_xll.BDP(C146,$I$142))</f>
        <v>#NAME?</v>
      </c>
      <c r="J146" s="846" t="e">
        <f ca="1">IF(C146="","",_xll.BDP($C146,J$142))</f>
        <v>#NAME?</v>
      </c>
      <c r="K146" s="927" t="e">
        <f t="shared" ca="1" si="4"/>
        <v>#NAME?</v>
      </c>
      <c r="R146" s="1215" t="s">
        <v>1633</v>
      </c>
      <c r="V146" s="1694"/>
      <c r="W146" s="1694"/>
      <c r="X146" s="1694"/>
      <c r="Y146" s="1694"/>
      <c r="Z146" s="1694"/>
      <c r="AA146" s="1694"/>
      <c r="AB146" s="1694"/>
      <c r="AD146" s="1694"/>
      <c r="AE146" s="1694"/>
      <c r="AF146" s="1694"/>
      <c r="AG146" s="1437"/>
      <c r="AH146" s="2407"/>
      <c r="AI146" s="2407"/>
      <c r="AJ146" s="2407"/>
      <c r="AK146" s="2407"/>
      <c r="AL146" s="2407"/>
    </row>
    <row r="147" spans="2:38">
      <c r="B147" s="45" t="s">
        <v>853</v>
      </c>
      <c r="C147" s="923" t="s">
        <v>1645</v>
      </c>
      <c r="D147" s="983">
        <v>-0.21099999999999999</v>
      </c>
      <c r="E147" s="391">
        <v>-0.20599999999999999</v>
      </c>
      <c r="F147" s="391">
        <v>-0.20100000000000001</v>
      </c>
      <c r="G147" s="296">
        <v>42419</v>
      </c>
      <c r="H147" s="296">
        <v>42529</v>
      </c>
      <c r="I147" s="846" t="e">
        <f ca="1">IF(C147="","",_xll.BDP(C147,$I$142))</f>
        <v>#NAME?</v>
      </c>
      <c r="J147" s="846" t="e">
        <f ca="1">IF(C147="","",_xll.BDP($C147,J$142))</f>
        <v>#NAME?</v>
      </c>
      <c r="K147" s="927" t="e">
        <f t="shared" ca="1" si="4"/>
        <v>#NAME?</v>
      </c>
      <c r="AE147" s="1119"/>
      <c r="AF147" s="1119"/>
      <c r="AG147" s="1119"/>
    </row>
    <row r="148" spans="2:38" ht="15.75" customHeight="1">
      <c r="B148" s="45" t="s">
        <v>854</v>
      </c>
      <c r="C148" s="923" t="s">
        <v>1646</v>
      </c>
      <c r="D148" s="983">
        <v>-0.20100000000000001</v>
      </c>
      <c r="E148" s="391">
        <v>-0.19500000000000001</v>
      </c>
      <c r="F148" s="391">
        <v>-0.189</v>
      </c>
      <c r="G148" s="296">
        <v>42419</v>
      </c>
      <c r="H148" s="296">
        <v>42529</v>
      </c>
      <c r="I148" s="846" t="e">
        <f ca="1">IF(C148="","",_xll.BDP(C148,$I$142))</f>
        <v>#NAME?</v>
      </c>
      <c r="J148" s="846" t="e">
        <f ca="1">IF(C148="","",_xll.BDP($C148,J$142))</f>
        <v>#NAME?</v>
      </c>
      <c r="K148" s="927" t="e">
        <f t="shared" ca="1" si="4"/>
        <v>#NAME?</v>
      </c>
      <c r="R148" s="1396" t="s">
        <v>1632</v>
      </c>
      <c r="AE148" s="1119"/>
      <c r="AF148" s="1119"/>
      <c r="AG148" s="1119"/>
    </row>
    <row r="149" spans="2:38" ht="15" customHeight="1">
      <c r="B149" s="45" t="s">
        <v>855</v>
      </c>
      <c r="C149" s="923" t="s">
        <v>1647</v>
      </c>
      <c r="D149" s="983">
        <v>-0.16700000000000001</v>
      </c>
      <c r="E149" s="391">
        <v>-0.161</v>
      </c>
      <c r="F149" s="391">
        <v>-0.155</v>
      </c>
      <c r="G149" s="296">
        <v>42419</v>
      </c>
      <c r="H149" s="296">
        <v>42529</v>
      </c>
      <c r="I149" s="846" t="e">
        <f ca="1">IF(C149="","",_xll.BDP(C149,$I$142))</f>
        <v>#NAME?</v>
      </c>
      <c r="J149" s="846" t="e">
        <f ca="1">IF(C149="","",_xll.BDP($C149,J$142))</f>
        <v>#NAME?</v>
      </c>
      <c r="K149" s="927" t="e">
        <f t="shared" ca="1" si="4"/>
        <v>#NAME?</v>
      </c>
      <c r="AE149" s="1263"/>
      <c r="AF149" s="1263"/>
      <c r="AG149" s="1119"/>
    </row>
    <row r="150" spans="2:38" ht="15.75" customHeight="1">
      <c r="B150" s="45" t="s">
        <v>856</v>
      </c>
      <c r="C150" s="923" t="s">
        <v>1648</v>
      </c>
      <c r="D150" s="983">
        <v>-0.16700000000000001</v>
      </c>
      <c r="E150" s="391">
        <v>-0.161</v>
      </c>
      <c r="F150" s="391">
        <v>-0.155</v>
      </c>
      <c r="G150" s="296">
        <v>42419</v>
      </c>
      <c r="H150" s="296">
        <v>42529</v>
      </c>
      <c r="I150" s="846" t="e">
        <f ca="1">IF(C150="","",_xll.BDP(C150,$I$142))</f>
        <v>#NAME?</v>
      </c>
      <c r="J150" s="846" t="e">
        <f ca="1">IF(C150="","",_xll.BDP($C150,J$142))</f>
        <v>#NAME?</v>
      </c>
      <c r="K150" s="927" t="e">
        <f t="shared" ca="1" si="4"/>
        <v>#NAME?</v>
      </c>
      <c r="AE150" s="1695"/>
      <c r="AF150" s="1264"/>
      <c r="AG150" s="1119"/>
    </row>
    <row r="151" spans="2:38">
      <c r="B151" s="45" t="s">
        <v>857</v>
      </c>
      <c r="C151" s="923" t="s">
        <v>1590</v>
      </c>
      <c r="D151" s="983">
        <v>-0.154</v>
      </c>
      <c r="E151" s="391">
        <v>-0.14799999999999999</v>
      </c>
      <c r="F151" s="391">
        <v>-0.14199999999999999</v>
      </c>
      <c r="G151" s="296">
        <v>42419</v>
      </c>
      <c r="H151" s="296">
        <v>42529</v>
      </c>
      <c r="I151" s="846" t="e">
        <f ca="1">IF(C151="","",_xll.BDP(C151,$I$142))</f>
        <v>#NAME?</v>
      </c>
      <c r="J151" s="846" t="e">
        <f ca="1">IF(C151="","",_xll.BDP($C151,J$142))</f>
        <v>#NAME?</v>
      </c>
      <c r="K151" s="927" t="e">
        <f t="shared" ca="1" si="4"/>
        <v>#NAME?</v>
      </c>
      <c r="AE151" s="1119"/>
    </row>
    <row r="152" spans="2:38" ht="15" customHeight="1">
      <c r="B152" s="45" t="s">
        <v>858</v>
      </c>
      <c r="C152" s="923" t="s">
        <v>1649</v>
      </c>
      <c r="D152" s="983">
        <v>-0.124</v>
      </c>
      <c r="E152" s="391">
        <v>-0.11799999999999999</v>
      </c>
      <c r="F152" s="391">
        <v>-0.112</v>
      </c>
      <c r="G152" s="296">
        <v>42419</v>
      </c>
      <c r="H152" s="296">
        <v>42529</v>
      </c>
      <c r="I152" s="846" t="e">
        <f ca="1">IF(C152="","",_xll.BDP(C152,$I$142))</f>
        <v>#NAME?</v>
      </c>
      <c r="J152" s="846" t="e">
        <f ca="1">IF(C152="","",_xll.BDP($C152,J$142))</f>
        <v>#NAME?</v>
      </c>
      <c r="K152" s="927" t="e">
        <f t="shared" ca="1" si="4"/>
        <v>#NAME?</v>
      </c>
    </row>
    <row r="153" spans="2:38">
      <c r="B153" s="45" t="s">
        <v>859</v>
      </c>
      <c r="C153" s="923" t="s">
        <v>1650</v>
      </c>
      <c r="D153" s="983">
        <v>-6.4000000000000001E-2</v>
      </c>
      <c r="E153" s="391">
        <v>-5.8000000000000003E-2</v>
      </c>
      <c r="F153" s="391">
        <v>-5.1999999999999998E-2</v>
      </c>
      <c r="G153" s="296">
        <v>42419</v>
      </c>
      <c r="H153" s="296">
        <v>42529</v>
      </c>
      <c r="I153" s="846" t="e">
        <f ca="1">IF(C153="","",_xll.BDP(C153,$I$142))</f>
        <v>#NAME?</v>
      </c>
      <c r="J153" s="846" t="e">
        <f ca="1">IF(C153="","",_xll.BDP($C153,J$142))</f>
        <v>#NAME?</v>
      </c>
      <c r="K153" s="927" t="e">
        <f t="shared" ca="1" si="4"/>
        <v>#NAME?</v>
      </c>
      <c r="R153" s="1240"/>
    </row>
    <row r="154" spans="2:38">
      <c r="B154" s="45" t="s">
        <v>860</v>
      </c>
      <c r="C154" s="923" t="s">
        <v>1651</v>
      </c>
      <c r="D154" s="983">
        <v>-1E-3</v>
      </c>
      <c r="E154" s="391">
        <v>6.0000000000000001E-3</v>
      </c>
      <c r="F154" s="391">
        <v>1.2999999999999999E-2</v>
      </c>
      <c r="G154" s="296">
        <v>42419</v>
      </c>
      <c r="H154" s="296">
        <v>42529</v>
      </c>
      <c r="I154" s="846" t="e">
        <f ca="1">IF(C154="","",_xll.BDP(C154,$I$142))</f>
        <v>#NAME?</v>
      </c>
      <c r="J154" s="846" t="e">
        <f ca="1">IF(C154="","",_xll.BDP($C154,J$142))</f>
        <v>#NAME?</v>
      </c>
      <c r="K154" s="927" t="e">
        <f t="shared" ca="1" si="4"/>
        <v>#NAME?</v>
      </c>
      <c r="L154" s="1223"/>
      <c r="M154" s="1589"/>
    </row>
    <row r="155" spans="2:38">
      <c r="B155" s="45" t="s">
        <v>861</v>
      </c>
      <c r="C155" s="923" t="s">
        <v>1564</v>
      </c>
      <c r="D155" s="983">
        <v>0.29299999999999998</v>
      </c>
      <c r="E155" s="391">
        <v>0.29799999999999999</v>
      </c>
      <c r="F155" s="391">
        <v>0.30399999999999999</v>
      </c>
      <c r="G155" s="296">
        <v>42419</v>
      </c>
      <c r="H155" s="296">
        <v>42529</v>
      </c>
      <c r="I155" s="846" t="e">
        <f ca="1">IF(C155="","",_xll.BDP(C155,$I$142))</f>
        <v>#NAME?</v>
      </c>
      <c r="J155" s="846" t="e">
        <f ca="1">IF(C155="","",_xll.BDP($C155,J$142))</f>
        <v>#NAME?</v>
      </c>
      <c r="K155" s="927" t="e">
        <f t="shared" ca="1" si="4"/>
        <v>#NAME?</v>
      </c>
      <c r="L155" s="1223"/>
      <c r="M155" s="1589"/>
    </row>
    <row r="156" spans="2:38">
      <c r="B156" s="45" t="s">
        <v>862</v>
      </c>
      <c r="C156" s="923" t="s">
        <v>1652</v>
      </c>
      <c r="D156" s="983">
        <v>0.70499999999999996</v>
      </c>
      <c r="E156" s="391">
        <v>0.71</v>
      </c>
      <c r="F156" s="391">
        <v>0.71499999999999997</v>
      </c>
      <c r="G156" s="296">
        <v>42419</v>
      </c>
      <c r="H156" s="296">
        <v>42529</v>
      </c>
      <c r="I156" s="846" t="e">
        <f ca="1">IF(C156="","",_xll.BDP(C156,$I$142))</f>
        <v>#NAME?</v>
      </c>
      <c r="J156" s="846" t="e">
        <f ca="1">IF(C156="","",_xll.BDP($C156,J$142))</f>
        <v>#NAME?</v>
      </c>
      <c r="K156" s="927" t="e">
        <f t="shared" ca="1" si="4"/>
        <v>#NAME?</v>
      </c>
      <c r="L156" s="1223"/>
      <c r="M156" s="1589"/>
    </row>
    <row r="157" spans="2:38">
      <c r="B157" s="45" t="s">
        <v>863</v>
      </c>
      <c r="C157" s="923" t="s">
        <v>1653</v>
      </c>
      <c r="D157" s="983">
        <v>1.0049999999999999</v>
      </c>
      <c r="E157" s="391">
        <v>1.01</v>
      </c>
      <c r="F157" s="391">
        <v>1.016</v>
      </c>
      <c r="G157" s="296">
        <v>42419</v>
      </c>
      <c r="H157" s="296">
        <v>42529</v>
      </c>
      <c r="I157" s="846" t="e">
        <f ca="1">IF(C157="","",_xll.BDP(C157,$I$142))</f>
        <v>#NAME?</v>
      </c>
      <c r="J157" s="846" t="e">
        <f ca="1">IF(C157="","",_xll.BDP($C157,J$142))</f>
        <v>#NAME?</v>
      </c>
      <c r="K157" s="927" t="e">
        <f t="shared" ca="1" si="4"/>
        <v>#NAME?</v>
      </c>
      <c r="L157" s="1223"/>
      <c r="M157" s="1589"/>
    </row>
    <row r="158" spans="2:38">
      <c r="B158" s="45" t="s">
        <v>1565</v>
      </c>
      <c r="C158" s="923" t="s">
        <v>1595</v>
      </c>
      <c r="D158" s="983">
        <v>1.145</v>
      </c>
      <c r="E158" s="391">
        <v>1.151</v>
      </c>
      <c r="F158" s="391">
        <v>1.1559999999999999</v>
      </c>
      <c r="G158" s="296">
        <v>42419</v>
      </c>
      <c r="H158" s="296">
        <v>42529</v>
      </c>
      <c r="I158" s="846" t="e">
        <f ca="1">IF(C158="","",_xll.BDP(C158,$I$142))</f>
        <v>#NAME?</v>
      </c>
      <c r="J158" s="846" t="e">
        <f ca="1">IF(C158="","",_xll.BDP($C158,J$142))</f>
        <v>#NAME?</v>
      </c>
      <c r="K158" s="927" t="e">
        <f t="shared" ca="1" si="4"/>
        <v>#NAME?</v>
      </c>
      <c r="L158" s="1223"/>
      <c r="M158" s="1589"/>
    </row>
    <row r="159" spans="2:38">
      <c r="B159" s="45"/>
      <c r="C159" s="923"/>
      <c r="D159" s="983"/>
      <c r="E159" s="404"/>
      <c r="F159" s="404"/>
      <c r="G159" s="296"/>
      <c r="H159" s="1585"/>
      <c r="I159" s="846"/>
      <c r="J159" s="846"/>
      <c r="K159" s="842"/>
      <c r="L159" s="1223"/>
    </row>
    <row r="160" spans="2:38">
      <c r="B160" s="45"/>
      <c r="C160" s="923"/>
      <c r="D160" s="983"/>
      <c r="E160" s="404"/>
      <c r="F160" s="404"/>
      <c r="G160" s="1585"/>
      <c r="H160" s="1585"/>
      <c r="I160" s="846"/>
      <c r="J160" s="846"/>
      <c r="K160" s="842"/>
      <c r="L160" s="1223"/>
      <c r="R160" s="1117" t="s">
        <v>1681</v>
      </c>
    </row>
    <row r="161" spans="2:31">
      <c r="B161" s="45"/>
      <c r="C161" s="923"/>
      <c r="D161" s="983"/>
      <c r="E161" s="404"/>
      <c r="F161" s="404"/>
      <c r="G161" s="1585"/>
      <c r="H161" s="1585"/>
      <c r="I161" s="846"/>
      <c r="J161" s="846"/>
      <c r="K161" s="842"/>
      <c r="L161" s="1223"/>
    </row>
    <row r="162" spans="2:31">
      <c r="B162" s="45"/>
      <c r="C162" s="923"/>
      <c r="D162" s="983"/>
      <c r="E162" s="391"/>
      <c r="F162" s="391"/>
      <c r="G162" s="296"/>
      <c r="H162" s="1585"/>
      <c r="I162" s="846"/>
      <c r="J162" s="846"/>
      <c r="K162" s="842"/>
      <c r="L162" s="1223"/>
    </row>
    <row r="163" spans="2:31">
      <c r="B163" s="45"/>
      <c r="C163" s="923"/>
      <c r="D163" s="983"/>
      <c r="E163" s="391"/>
      <c r="F163" s="391"/>
      <c r="G163" s="296"/>
      <c r="H163" s="751"/>
      <c r="I163" s="846"/>
      <c r="J163" s="846"/>
      <c r="K163" s="842"/>
      <c r="L163" s="1223"/>
    </row>
    <row r="164" spans="2:31">
      <c r="B164" s="703"/>
      <c r="C164" s="925"/>
      <c r="D164" s="984"/>
      <c r="E164" s="994"/>
      <c r="F164" s="994"/>
      <c r="G164" s="465"/>
      <c r="H164" s="9"/>
      <c r="I164" s="934"/>
      <c r="J164" s="934"/>
      <c r="K164" s="847"/>
      <c r="L164" s="1223"/>
    </row>
    <row r="165" spans="2:31">
      <c r="B165" s="1589"/>
      <c r="C165" s="1684"/>
      <c r="D165" s="1692"/>
      <c r="E165" s="1693"/>
      <c r="F165" s="1693"/>
      <c r="G165" s="1682"/>
      <c r="H165" s="1119"/>
      <c r="I165" s="1680"/>
      <c r="J165" s="1680"/>
      <c r="K165" s="1696"/>
      <c r="L165" s="1223"/>
    </row>
    <row r="166" spans="2:31" ht="15.75">
      <c r="C166" s="1697"/>
      <c r="D166" s="1698"/>
      <c r="E166" s="1589"/>
      <c r="F166" s="1119"/>
      <c r="G166" s="1119"/>
      <c r="H166" s="1119"/>
      <c r="L166" s="1119"/>
      <c r="M166" s="1651"/>
      <c r="N166" s="1651"/>
      <c r="O166" s="1699"/>
      <c r="Q166" s="1119"/>
      <c r="R166" s="1119"/>
      <c r="S166" s="1119"/>
    </row>
    <row r="167" spans="2:31" ht="18.75">
      <c r="B167" s="2000" t="s">
        <v>1898</v>
      </c>
      <c r="C167" s="1700"/>
      <c r="D167" s="1700"/>
      <c r="E167" s="1700"/>
      <c r="F167" s="1700"/>
      <c r="G167" s="1700"/>
      <c r="H167" s="1700"/>
      <c r="I167" s="1700"/>
      <c r="J167" s="1700"/>
      <c r="K167" s="1119"/>
    </row>
    <row r="168" spans="2:31" ht="21">
      <c r="B168" s="1701"/>
      <c r="C168" s="1702"/>
      <c r="D168" s="1703"/>
      <c r="E168" s="1704"/>
      <c r="F168" s="1704"/>
      <c r="G168" s="1704"/>
      <c r="H168" s="2036"/>
      <c r="I168" s="2038"/>
      <c r="J168" s="1705"/>
      <c r="K168" s="1706" t="s">
        <v>1631</v>
      </c>
      <c r="L168" s="1707"/>
      <c r="M168" s="1706"/>
      <c r="N168" s="1213"/>
      <c r="O168" s="1204"/>
      <c r="P168" s="1204"/>
      <c r="Q168" s="1685"/>
      <c r="R168" s="1708"/>
      <c r="T168" s="1708"/>
      <c r="U168" s="1708"/>
      <c r="V168" s="1119"/>
      <c r="W168" s="1119"/>
      <c r="X168" s="1119"/>
      <c r="Y168" s="1119"/>
      <c r="Z168" s="1119"/>
    </row>
    <row r="169" spans="2:31" ht="25.5">
      <c r="B169" s="1709"/>
      <c r="C169" s="2004" t="s">
        <v>1802</v>
      </c>
      <c r="D169" s="2005" t="s">
        <v>592</v>
      </c>
      <c r="E169" s="2006" t="s">
        <v>593</v>
      </c>
      <c r="F169" s="2006" t="s">
        <v>594</v>
      </c>
      <c r="G169" s="2006" t="s">
        <v>1801</v>
      </c>
      <c r="H169" s="2006" t="s">
        <v>597</v>
      </c>
      <c r="I169" s="2040" t="s">
        <v>1930</v>
      </c>
      <c r="J169" s="2007" t="s">
        <v>592</v>
      </c>
      <c r="K169" s="2007" t="s">
        <v>593</v>
      </c>
      <c r="L169" s="2007" t="s">
        <v>594</v>
      </c>
      <c r="M169" s="2007" t="s">
        <v>1801</v>
      </c>
      <c r="N169" s="2001" t="s">
        <v>1811</v>
      </c>
      <c r="O169" s="2002" t="s">
        <v>1900</v>
      </c>
      <c r="P169" s="2002" t="s">
        <v>1899</v>
      </c>
      <c r="Q169" s="2003" t="s">
        <v>1931</v>
      </c>
      <c r="R169" s="1683"/>
      <c r="T169" s="1683"/>
      <c r="U169" s="1683"/>
      <c r="V169" s="1119"/>
      <c r="W169" s="1699"/>
      <c r="X169" s="1710"/>
      <c r="Y169" s="1119"/>
      <c r="Z169" s="1119"/>
    </row>
    <row r="170" spans="2:31" ht="15.75">
      <c r="B170" s="1213"/>
      <c r="C170" s="2008" t="s">
        <v>1803</v>
      </c>
      <c r="D170" s="2012" t="s">
        <v>1902</v>
      </c>
      <c r="E170" s="2009"/>
      <c r="F170" s="2009"/>
      <c r="G170" s="2009"/>
      <c r="H170" s="2037"/>
      <c r="I170" s="2039"/>
      <c r="J170" s="2146"/>
      <c r="K170" s="2147"/>
      <c r="L170" s="2148"/>
      <c r="M170" s="2149"/>
      <c r="N170" s="1707"/>
      <c r="O170" s="1379" t="s">
        <v>1348</v>
      </c>
      <c r="P170" s="1738" t="s">
        <v>1810</v>
      </c>
      <c r="Q170" s="2046" t="s">
        <v>592</v>
      </c>
      <c r="R170" s="1711"/>
      <c r="T170" s="1119"/>
      <c r="U170" s="1119"/>
      <c r="V170" s="1119"/>
      <c r="W170" s="1695"/>
      <c r="X170" s="1710"/>
      <c r="Y170" s="1119"/>
      <c r="Z170" s="1119"/>
      <c r="AA170" s="1119"/>
      <c r="AB170" s="1119"/>
      <c r="AC170" s="1119"/>
      <c r="AD170" s="1119"/>
      <c r="AE170" s="1119"/>
    </row>
    <row r="171" spans="2:31">
      <c r="B171" s="1751" t="s">
        <v>1804</v>
      </c>
      <c r="C171" s="1389" t="e">
        <f ca="1">IF(B171="","",_xll.BDP($B171,C$169))</f>
        <v>#NAME?</v>
      </c>
      <c r="D171" s="1392" t="e">
        <f ca="1">IF(B171="","",_xll.BDP($B171,D$169,$J$169:$M$169,$J171:$M171))</f>
        <v>#NAME?</v>
      </c>
      <c r="E171" s="1393" t="e">
        <f ca="1">IF(C171="","",_xll.BDP($B171,E$169,$J$169:$M$169,$J171:$M171))</f>
        <v>#NAME?</v>
      </c>
      <c r="F171" s="1393" t="e">
        <f ca="1">IF(D171="","",_xll.BDP($B171,F$169,$J$169:$M$169,$J171:$M171))</f>
        <v>#NAME?</v>
      </c>
      <c r="G171" s="1393" t="e">
        <f ca="1">IF(E171="","",_xll.BDP($B171,G$169,$J$169:$M$169,$J171:$M171))</f>
        <v>#NAME?</v>
      </c>
      <c r="H171" s="1742" t="e">
        <f ca="1">IF(F171="","",_xll.BDP($B171,H$169,$J$169:$M$169,$J171:$M171))</f>
        <v>#NAME?</v>
      </c>
      <c r="I171" s="1558" t="e">
        <f ca="1">IF(B171="","",_xll.BDP($B171,I$169))</f>
        <v>#NAME?</v>
      </c>
      <c r="J171" s="2144" t="e">
        <f ca="1">(TEXT(I171,"yyyymmdd"))</f>
        <v>#NAME?</v>
      </c>
      <c r="K171" s="2145">
        <v>101.6</v>
      </c>
      <c r="L171" s="2145">
        <v>2</v>
      </c>
      <c r="M171" s="2142" t="e">
        <f ca="1">TEXT((I171+35),"yyyymmdd")</f>
        <v>#NAME?</v>
      </c>
      <c r="N171" s="401" t="str">
        <f t="shared" ref="N171:N177" si="5">B171</f>
        <v>ct2 govt</v>
      </c>
      <c r="O171" s="99" t="e">
        <f ca="1">_xll.BDP($N171,$O$170,$P$170:$Q$170,$P171:$Q171)</f>
        <v>#NAME?</v>
      </c>
      <c r="P171" s="2042" t="e">
        <f t="shared" ref="P171:P177" ca="1" si="6">H171</f>
        <v>#NAME?</v>
      </c>
      <c r="Q171" s="2043" t="e">
        <f ca="1">M171</f>
        <v>#NAME?</v>
      </c>
      <c r="T171" s="1415"/>
      <c r="U171" s="1712"/>
      <c r="V171" s="1119"/>
      <c r="W171" s="1695"/>
      <c r="X171" s="1710"/>
      <c r="Y171" s="1119"/>
      <c r="Z171" s="1119"/>
      <c r="AA171" s="1119"/>
      <c r="AB171" s="1119"/>
      <c r="AC171" s="1119"/>
      <c r="AD171" s="1119"/>
      <c r="AE171" s="1119"/>
    </row>
    <row r="172" spans="2:31">
      <c r="B172" s="1752" t="s">
        <v>1805</v>
      </c>
      <c r="C172" s="1389" t="e">
        <f ca="1">IF(B172="","",_xll.BDP($B172,C$169))</f>
        <v>#NAME?</v>
      </c>
      <c r="D172" s="1386" t="e">
        <f ca="1">IF(B172="","",_xll.BDP($B172,D$169,$J$169:$M$169,$J172:$M172))</f>
        <v>#NAME?</v>
      </c>
      <c r="E172" s="1383" t="e">
        <f ca="1">IF(C172="","",_xll.BDP($B172,E$169,$J$169:$M$169,$J172:$M172))</f>
        <v>#NAME?</v>
      </c>
      <c r="F172" s="1383" t="e">
        <f ca="1">IF(D172="","",_xll.BDP($B172,F$169,$J$169:$M$169,$J172:$M172))</f>
        <v>#NAME?</v>
      </c>
      <c r="G172" s="1383" t="e">
        <f ca="1">IF(E172="","",_xll.BDP($B172,G$169,$J$169:$M$169,$J172:$M172))</f>
        <v>#NAME?</v>
      </c>
      <c r="H172" s="817" t="e">
        <f ca="1">IF(F172="","",_xll.BDP($B172,H$169,$J$169:$M$169,$J172:$M172))</f>
        <v>#NAME?</v>
      </c>
      <c r="I172" s="1558" t="e">
        <f ca="1">IF(B172="","",_xll.BDP($B172,I$169))</f>
        <v>#NAME?</v>
      </c>
      <c r="J172" s="1746" t="e">
        <f t="shared" ref="J172:J177" ca="1" si="7">(TEXT(I172,"yyyymmdd"))</f>
        <v>#NAME?</v>
      </c>
      <c r="K172" s="1745">
        <v>100.4</v>
      </c>
      <c r="L172" s="2141">
        <v>1.9</v>
      </c>
      <c r="M172" s="1747" t="e">
        <f ca="1">TEXT((I172+25),"yyyymmdd")</f>
        <v>#NAME?</v>
      </c>
      <c r="N172" s="45" t="str">
        <f t="shared" si="5"/>
        <v>ct3 govt</v>
      </c>
      <c r="O172" s="99" t="e">
        <f ca="1">_xll.BDP($N172,$O$170,$P$170:$Q$170,$P172:$Q172)</f>
        <v>#NAME?</v>
      </c>
      <c r="P172" s="2010" t="e">
        <f t="shared" ca="1" si="6"/>
        <v>#NAME?</v>
      </c>
      <c r="Q172" s="2044" t="e">
        <f t="shared" ref="Q172:Q177" ca="1" si="8">$Q$171</f>
        <v>#NAME?</v>
      </c>
      <c r="T172" s="1415"/>
      <c r="U172" s="1712"/>
      <c r="V172" s="1119"/>
      <c r="W172" s="1695"/>
      <c r="X172" s="1710"/>
      <c r="Y172" s="1119"/>
      <c r="Z172" s="1119"/>
      <c r="AA172" s="1119"/>
      <c r="AB172" s="1119"/>
      <c r="AC172" s="1119"/>
      <c r="AD172" s="1119"/>
      <c r="AE172" s="1119"/>
    </row>
    <row r="173" spans="2:31">
      <c r="B173" s="1752" t="s">
        <v>1806</v>
      </c>
      <c r="C173" s="1389" t="e">
        <f ca="1">IF(B173="","",_xll.BDP($B173,C$169))</f>
        <v>#NAME?</v>
      </c>
      <c r="D173" s="1386" t="e">
        <f ca="1">IF(B173="","",_xll.BDP($B173,D$169,$J$169:$M$169,$J173:$M173))</f>
        <v>#NAME?</v>
      </c>
      <c r="E173" s="1383" t="e">
        <f ca="1">IF(C173="","",_xll.BDP($B173,E$169,$J$169:$M$169,$J173:$M173))</f>
        <v>#NAME?</v>
      </c>
      <c r="F173" s="1383" t="e">
        <f ca="1">IF(D173="","",_xll.BDP($B173,F$169,$J$169:$M$169,$J173:$M173))</f>
        <v>#NAME?</v>
      </c>
      <c r="G173" s="1383" t="e">
        <f ca="1">IF(E173="","",_xll.BDP($B173,G$169,$J$169:$M$169,$J173:$M173))</f>
        <v>#NAME?</v>
      </c>
      <c r="H173" s="817" t="e">
        <f ca="1">IF(F173="","",_xll.BDP($B173,H$169,$J$169:$M$169,$J173:$M173))</f>
        <v>#NAME?</v>
      </c>
      <c r="I173" s="1558" t="e">
        <f ca="1">IF(B173="","",_xll.BDP($B173,I$169))</f>
        <v>#NAME?</v>
      </c>
      <c r="J173" s="1746" t="e">
        <f t="shared" ca="1" si="7"/>
        <v>#NAME?</v>
      </c>
      <c r="K173" s="1745">
        <v>102.25</v>
      </c>
      <c r="L173" s="2141">
        <v>2.15</v>
      </c>
      <c r="M173" s="1747" t="e">
        <f ca="1">TEXT((I173+15),"yyyymmdd")</f>
        <v>#NAME?</v>
      </c>
      <c r="N173" s="45" t="str">
        <f t="shared" si="5"/>
        <v>ct4 govt</v>
      </c>
      <c r="O173" s="99" t="e">
        <f ca="1">_xll.BDP($N173,$O$170,$P$170:$Q$170,$P173:$Q173)</f>
        <v>#NAME?</v>
      </c>
      <c r="P173" s="2010" t="e">
        <f t="shared" ca="1" si="6"/>
        <v>#NAME?</v>
      </c>
      <c r="Q173" s="2044" t="e">
        <f t="shared" ca="1" si="8"/>
        <v>#NAME?</v>
      </c>
      <c r="R173" s="1713"/>
      <c r="T173" s="1415"/>
      <c r="U173" s="1712"/>
      <c r="V173" s="1119"/>
      <c r="W173" s="1695"/>
      <c r="X173" s="1710"/>
      <c r="Y173" s="1119"/>
      <c r="Z173" s="1119"/>
      <c r="AA173" s="1119"/>
      <c r="AB173" s="1119"/>
      <c r="AC173" s="1119"/>
      <c r="AD173" s="1119"/>
      <c r="AE173" s="1119"/>
    </row>
    <row r="174" spans="2:31">
      <c r="B174" s="1752" t="s">
        <v>1807</v>
      </c>
      <c r="C174" s="1389" t="e">
        <f ca="1">IF(B174="","",_xll.BDP($B174,C$169))</f>
        <v>#NAME?</v>
      </c>
      <c r="D174" s="1386" t="e">
        <f ca="1">IF(B174="","",_xll.BDP($B174,D$169,$J$169:$M$169,$J174:$M174))</f>
        <v>#NAME?</v>
      </c>
      <c r="E174" s="1383" t="e">
        <f ca="1">IF(C174="","",_xll.BDP($B174,E$169,$J$169:$M$169,$J174:$M174))</f>
        <v>#NAME?</v>
      </c>
      <c r="F174" s="1383" t="e">
        <f ca="1">IF(D174="","",_xll.BDP($B174,F$169,$J$169:$M$169,$J174:$M174))</f>
        <v>#NAME?</v>
      </c>
      <c r="G174" s="1383" t="e">
        <f ca="1">IF(E174="","",_xll.BDP($B174,G$169,$J$169:$M$169,$J174:$M174))</f>
        <v>#NAME?</v>
      </c>
      <c r="H174" s="817" t="e">
        <f ca="1">IF(F174="","",_xll.BDP($B174,H$169,$J$169:$M$169,$J174:$M174))</f>
        <v>#NAME?</v>
      </c>
      <c r="I174" s="1558" t="e">
        <f ca="1">IF(B174="","",_xll.BDP($B174,I$169))</f>
        <v>#NAME?</v>
      </c>
      <c r="J174" s="1746" t="e">
        <f t="shared" ca="1" si="7"/>
        <v>#NAME?</v>
      </c>
      <c r="K174" s="1745">
        <v>101.54</v>
      </c>
      <c r="L174" s="2141">
        <v>2</v>
      </c>
      <c r="M174" s="1747" t="e">
        <f ca="1">TEXT((I174+45),"yyyymmdd")</f>
        <v>#NAME?</v>
      </c>
      <c r="N174" s="45" t="str">
        <f t="shared" si="5"/>
        <v>ct5 govt</v>
      </c>
      <c r="O174" s="99" t="e">
        <f ca="1">_xll.BDP($N174,$O$170,$P$170:$Q$170,$P174:$Q174)</f>
        <v>#NAME?</v>
      </c>
      <c r="P174" s="2010" t="e">
        <f t="shared" ca="1" si="6"/>
        <v>#NAME?</v>
      </c>
      <c r="Q174" s="2044" t="e">
        <f t="shared" ca="1" si="8"/>
        <v>#NAME?</v>
      </c>
      <c r="R174" s="1713"/>
      <c r="T174" s="1415"/>
      <c r="U174" s="1712"/>
      <c r="V174" s="1119"/>
      <c r="W174" s="1695"/>
      <c r="X174" s="1710"/>
      <c r="Y174" s="1119"/>
      <c r="Z174" s="1119"/>
      <c r="AA174" s="1119"/>
      <c r="AB174" s="1119"/>
      <c r="AC174" s="1119"/>
      <c r="AD174" s="1119"/>
      <c r="AE174" s="1119"/>
    </row>
    <row r="175" spans="2:31">
      <c r="B175" s="1752" t="s">
        <v>1808</v>
      </c>
      <c r="C175" s="1389" t="e">
        <f ca="1">IF(B175="","",_xll.BDP($B175,C$169))</f>
        <v>#NAME?</v>
      </c>
      <c r="D175" s="1386" t="e">
        <f ca="1">IF(B175="","",_xll.BDP($B175,D$169,$J$169:$M$169,$J175:$M175))</f>
        <v>#NAME?</v>
      </c>
      <c r="E175" s="1383" t="e">
        <f ca="1">IF(C175="","",_xll.BDP($B175,E$169,$J$169:$M$169,$J175:$M175))</f>
        <v>#NAME?</v>
      </c>
      <c r="F175" s="1383" t="e">
        <f ca="1">IF(D175="","",_xll.BDP($B175,F$169,$J$169:$M$169,$J175:$M175))</f>
        <v>#NAME?</v>
      </c>
      <c r="G175" s="1383" t="e">
        <f ca="1">IF(E175="","",_xll.BDP($B175,G$169,$J$169:$M$169,$J175:$M175))</f>
        <v>#NAME?</v>
      </c>
      <c r="H175" s="817" t="e">
        <f ca="1">IF(F175="","",_xll.BDP($B175,H$169,$J$169:$M$169,$J175:$M175))</f>
        <v>#NAME?</v>
      </c>
      <c r="I175" s="1558" t="e">
        <f ca="1">IF(B175="","",_xll.BDP($B175,I$169))</f>
        <v>#NAME?</v>
      </c>
      <c r="J175" s="1746" t="e">
        <f t="shared" ca="1" si="7"/>
        <v>#NAME?</v>
      </c>
      <c r="K175" s="1745">
        <v>101.86</v>
      </c>
      <c r="L175" s="2141">
        <v>2.2999999999999998</v>
      </c>
      <c r="M175" s="1747" t="e">
        <f ca="1">TEXT((I175+10),"yyyymmdd")</f>
        <v>#NAME?</v>
      </c>
      <c r="N175" s="45" t="str">
        <f t="shared" si="5"/>
        <v>ct7 govt</v>
      </c>
      <c r="O175" s="99" t="e">
        <f ca="1">_xll.BDP($N175,$O$170,$P$170:$Q$170,$P175:$Q175)</f>
        <v>#NAME?</v>
      </c>
      <c r="P175" s="2010" t="e">
        <f t="shared" ca="1" si="6"/>
        <v>#NAME?</v>
      </c>
      <c r="Q175" s="2044" t="e">
        <f t="shared" ca="1" si="8"/>
        <v>#NAME?</v>
      </c>
      <c r="R175" s="1713"/>
      <c r="T175" s="1415"/>
      <c r="U175" s="1712"/>
      <c r="V175" s="1119"/>
      <c r="W175" s="1695"/>
      <c r="X175" s="1710"/>
      <c r="Y175" s="1119"/>
      <c r="Z175" s="1119"/>
      <c r="AA175" s="1119"/>
      <c r="AB175" s="1119"/>
      <c r="AC175" s="1119"/>
      <c r="AD175" s="1119"/>
      <c r="AE175" s="1119"/>
    </row>
    <row r="176" spans="2:31">
      <c r="B176" s="1752" t="s">
        <v>1115</v>
      </c>
      <c r="C176" s="1389" t="e">
        <f ca="1">IF(B176="","",_xll.BDP($B176,C$169))</f>
        <v>#NAME?</v>
      </c>
      <c r="D176" s="1386" t="e">
        <f ca="1">IF(B176="","",_xll.BDP($B176,D$169,$J$169:$M$169,$J176:$M176))</f>
        <v>#NAME?</v>
      </c>
      <c r="E176" s="1383" t="e">
        <f ca="1">IF(C176="","",_xll.BDP($B176,E$169,$J$169:$M$169,$J176:$M176))</f>
        <v>#NAME?</v>
      </c>
      <c r="F176" s="1383" t="e">
        <f ca="1">IF(D176="","",_xll.BDP($B176,F$169,$J$169:$M$169,$J176:$M176))</f>
        <v>#NAME?</v>
      </c>
      <c r="G176" s="1383" t="e">
        <f ca="1">IF(E176="","",_xll.BDP($B176,G$169,$J$169:$M$169,$J176:$M176))</f>
        <v>#NAME?</v>
      </c>
      <c r="H176" s="817" t="e">
        <f ca="1">IF(F176="","",_xll.BDP($B176,H$169,$J$169:$M$169,$J176:$M176))</f>
        <v>#NAME?</v>
      </c>
      <c r="I176" s="1558" t="e">
        <f ca="1">IF(B176="","",_xll.BDP($B176,I$169))</f>
        <v>#NAME?</v>
      </c>
      <c r="J176" s="1746" t="e">
        <f t="shared" ca="1" si="7"/>
        <v>#NAME?</v>
      </c>
      <c r="K176" s="1745">
        <v>100.4</v>
      </c>
      <c r="L176" s="2141">
        <v>2.4</v>
      </c>
      <c r="M176" s="1747" t="e">
        <f ca="1">TEXT((I176+75),"yyyymmdd")</f>
        <v>#NAME?</v>
      </c>
      <c r="N176" s="45" t="str">
        <f t="shared" si="5"/>
        <v>ct10 govt</v>
      </c>
      <c r="O176" s="99" t="e">
        <f ca="1">_xll.BDP($N176,$O$170,$P$170:$Q$170,$P176:$Q176)</f>
        <v>#NAME?</v>
      </c>
      <c r="P176" s="2010" t="e">
        <f t="shared" ca="1" si="6"/>
        <v>#NAME?</v>
      </c>
      <c r="Q176" s="2044" t="e">
        <f t="shared" ca="1" si="8"/>
        <v>#NAME?</v>
      </c>
      <c r="R176" s="1713"/>
      <c r="T176" s="1415"/>
      <c r="U176" s="1712"/>
      <c r="V176" s="1119"/>
      <c r="W176" s="1695"/>
      <c r="X176" s="1710"/>
      <c r="Y176" s="1119"/>
      <c r="Z176" s="1119"/>
      <c r="AA176" s="1119"/>
      <c r="AB176" s="1119"/>
      <c r="AC176" s="1119"/>
      <c r="AD176" s="1119"/>
      <c r="AE176" s="1119"/>
    </row>
    <row r="177" spans="1:31">
      <c r="B177" s="1752" t="s">
        <v>1809</v>
      </c>
      <c r="C177" s="1389" t="e">
        <f ca="1">IF(B177="","",_xll.BDP($B177,C$169))</f>
        <v>#NAME?</v>
      </c>
      <c r="D177" s="1386" t="e">
        <f ca="1">IF(B177="","",_xll.BDP($B177,D$169,$J$169:$M$169,$J177:$M177))</f>
        <v>#NAME?</v>
      </c>
      <c r="E177" s="1383" t="e">
        <f ca="1">IF(C177="","",_xll.BDP($B177,E$169,$J$169:$M$169,$J177:$M177))</f>
        <v>#NAME?</v>
      </c>
      <c r="F177" s="1383" t="e">
        <f ca="1">IF(D177="","",_xll.BDP($B177,F$169,$J$169:$M$169,$J177:$M177))</f>
        <v>#NAME?</v>
      </c>
      <c r="G177" s="1383" t="e">
        <f ca="1">IF(E177="","",_xll.BDP($B177,G$169,$J$169:$M$169,$J177:$M177))</f>
        <v>#NAME?</v>
      </c>
      <c r="H177" s="817" t="e">
        <f ca="1">IF(F177="","",_xll.BDP($B177,H$169,$J$169:$M$169,$J177:$M177))</f>
        <v>#NAME?</v>
      </c>
      <c r="I177" s="1558" t="e">
        <f ca="1">IF(B177="","",_xll.BDP($B177,I$169))</f>
        <v>#NAME?</v>
      </c>
      <c r="J177" s="1746" t="e">
        <f t="shared" ca="1" si="7"/>
        <v>#NAME?</v>
      </c>
      <c r="K177" s="1745">
        <v>102.33</v>
      </c>
      <c r="L177" s="2141">
        <v>1.95</v>
      </c>
      <c r="M177" s="1747" t="e">
        <f ca="1">TEXT((I177+10),"yyyymmdd")</f>
        <v>#NAME?</v>
      </c>
      <c r="N177" s="703" t="str">
        <f t="shared" si="5"/>
        <v>ct30 govt</v>
      </c>
      <c r="O177" s="2140" t="e">
        <f ca="1">_xll.BDP($N177,$O$170,$P$170:$Q$170,$P177:$Q177)</f>
        <v>#NAME?</v>
      </c>
      <c r="P177" s="2011" t="e">
        <f t="shared" ca="1" si="6"/>
        <v>#NAME?</v>
      </c>
      <c r="Q177" s="2045" t="e">
        <f t="shared" ca="1" si="8"/>
        <v>#NAME?</v>
      </c>
      <c r="R177" s="1713"/>
      <c r="T177" s="1415"/>
      <c r="U177" s="1712"/>
      <c r="V177" s="1119"/>
      <c r="W177" s="1695"/>
      <c r="X177" s="1710"/>
      <c r="Y177" s="1119"/>
      <c r="Z177" s="1119"/>
      <c r="AA177" s="1119"/>
      <c r="AB177" s="1119"/>
      <c r="AC177" s="1119"/>
      <c r="AD177" s="1119"/>
      <c r="AE177" s="1119"/>
    </row>
    <row r="178" spans="1:31">
      <c r="B178" s="1752"/>
      <c r="C178" s="1389"/>
      <c r="D178" s="1386"/>
      <c r="E178" s="880"/>
      <c r="F178" s="880"/>
      <c r="G178" s="880"/>
      <c r="H178" s="880"/>
      <c r="I178" s="1558" t="str">
        <f>IF(B178="","",_xll.BDP($B178,I$169))</f>
        <v/>
      </c>
      <c r="J178" s="1746"/>
      <c r="K178" s="1745"/>
      <c r="L178" s="1745"/>
      <c r="M178" s="2142"/>
      <c r="N178" s="1200"/>
      <c r="Q178" s="1589"/>
      <c r="R178" s="1713"/>
      <c r="T178" s="1415"/>
      <c r="U178" s="1712"/>
      <c r="V178" s="1119"/>
      <c r="W178" s="1695"/>
      <c r="X178" s="1710"/>
      <c r="Y178" s="1119"/>
      <c r="Z178" s="1119"/>
      <c r="AA178" s="1119"/>
      <c r="AB178" s="1119"/>
      <c r="AC178" s="1119"/>
      <c r="AD178" s="1119"/>
      <c r="AE178" s="1119"/>
    </row>
    <row r="179" spans="1:31">
      <c r="B179" s="1752"/>
      <c r="C179" s="1389"/>
      <c r="D179" s="1386"/>
      <c r="E179" s="880"/>
      <c r="F179" s="880"/>
      <c r="G179" s="880"/>
      <c r="H179" s="880"/>
      <c r="I179" s="1558" t="str">
        <f>IF(B179="","",_xll.BDP($B179,I$169))</f>
        <v/>
      </c>
      <c r="J179" s="1746"/>
      <c r="K179" s="1745"/>
      <c r="L179" s="1745"/>
      <c r="M179" s="1747"/>
      <c r="N179" s="2143"/>
      <c r="Q179" s="1589"/>
      <c r="R179" s="1713"/>
      <c r="T179" s="1415"/>
      <c r="U179" s="1712"/>
      <c r="V179" s="1119"/>
      <c r="W179" s="1695"/>
      <c r="X179" s="1710"/>
      <c r="Y179" s="1119"/>
      <c r="Z179" s="1119"/>
      <c r="AA179" s="1119"/>
      <c r="AB179" s="1119"/>
      <c r="AC179" s="1119"/>
      <c r="AD179" s="1119"/>
      <c r="AE179" s="1119"/>
    </row>
    <row r="180" spans="1:31">
      <c r="B180" s="1752"/>
      <c r="C180" s="1389"/>
      <c r="D180" s="1386"/>
      <c r="E180" s="880"/>
      <c r="F180" s="880"/>
      <c r="G180" s="880"/>
      <c r="H180" s="880"/>
      <c r="I180" s="1558" t="str">
        <f>IF(B180="","",_xll.BDP($B180,I$169))</f>
        <v/>
      </c>
      <c r="J180" s="1746"/>
      <c r="K180" s="1745"/>
      <c r="L180" s="1745"/>
      <c r="M180" s="1747"/>
      <c r="N180" s="1119"/>
      <c r="Q180" s="1589"/>
      <c r="R180" s="1713"/>
      <c r="T180" s="1415"/>
      <c r="U180" s="1712"/>
      <c r="V180" s="1119"/>
      <c r="W180" s="1695"/>
      <c r="X180" s="1710"/>
      <c r="Y180" s="1119"/>
      <c r="Z180" s="1119"/>
      <c r="AA180" s="1119"/>
      <c r="AB180" s="1119"/>
      <c r="AC180" s="1119"/>
      <c r="AD180" s="1119"/>
      <c r="AE180" s="1119"/>
    </row>
    <row r="181" spans="1:31">
      <c r="B181" s="1752"/>
      <c r="C181" s="1389"/>
      <c r="D181" s="1386"/>
      <c r="E181" s="880"/>
      <c r="F181" s="880"/>
      <c r="G181" s="880"/>
      <c r="H181" s="880"/>
      <c r="I181" s="1558" t="str">
        <f>IF(B181="","",_xll.BDP($B181,I$169))</f>
        <v/>
      </c>
      <c r="J181" s="1746"/>
      <c r="K181" s="1745"/>
      <c r="L181" s="1745"/>
      <c r="M181" s="1747"/>
      <c r="Q181" s="1589"/>
      <c r="R181" s="1713"/>
      <c r="T181" s="1415"/>
      <c r="U181" s="1712"/>
      <c r="V181" s="1119"/>
      <c r="W181" s="1695"/>
      <c r="X181" s="1710"/>
      <c r="Y181" s="1119"/>
      <c r="Z181" s="1119"/>
      <c r="AA181" s="1119"/>
      <c r="AB181" s="1119"/>
      <c r="AC181" s="1119"/>
      <c r="AD181" s="1119"/>
      <c r="AE181" s="1119"/>
    </row>
    <row r="182" spans="1:31">
      <c r="B182" s="1752"/>
      <c r="C182" s="1389"/>
      <c r="D182" s="1386"/>
      <c r="E182" s="880"/>
      <c r="F182" s="880"/>
      <c r="G182" s="880"/>
      <c r="H182" s="880"/>
      <c r="I182" s="1558" t="str">
        <f>IF(B182="","",_xll.BDP($B182,I$169))</f>
        <v/>
      </c>
      <c r="J182" s="1746"/>
      <c r="K182" s="1745"/>
      <c r="L182" s="1745"/>
      <c r="M182" s="1747"/>
      <c r="N182" s="1119"/>
      <c r="Q182" s="1589"/>
      <c r="R182" s="1713"/>
      <c r="T182" s="1415"/>
      <c r="U182" s="1712"/>
      <c r="V182" s="1119"/>
      <c r="W182" s="1695"/>
      <c r="X182" s="1710"/>
      <c r="Y182" s="1119"/>
      <c r="Z182" s="1119"/>
      <c r="AA182" s="1119"/>
      <c r="AB182" s="1119"/>
      <c r="AC182" s="1119"/>
      <c r="AD182" s="1119"/>
      <c r="AE182" s="1119"/>
    </row>
    <row r="183" spans="1:31">
      <c r="B183" s="1752"/>
      <c r="C183" s="1389"/>
      <c r="D183" s="1386"/>
      <c r="E183" s="880"/>
      <c r="F183" s="880"/>
      <c r="G183" s="880"/>
      <c r="H183" s="880"/>
      <c r="I183" s="1558" t="str">
        <f>IF(B183="","",_xll.BDP($B183,I$169))</f>
        <v/>
      </c>
      <c r="J183" s="1746"/>
      <c r="K183" s="1745"/>
      <c r="L183" s="1745"/>
      <c r="M183" s="1747"/>
      <c r="Q183" s="1589"/>
      <c r="R183" s="1713"/>
      <c r="T183" s="1415"/>
      <c r="U183" s="1712"/>
      <c r="V183" s="1119"/>
      <c r="W183" s="1695"/>
      <c r="X183" s="1710"/>
      <c r="Y183" s="1119"/>
      <c r="Z183" s="1119"/>
      <c r="AA183" s="1119"/>
      <c r="AB183" s="1119"/>
      <c r="AC183" s="1119"/>
      <c r="AD183" s="1119"/>
      <c r="AE183" s="1119"/>
    </row>
    <row r="184" spans="1:31">
      <c r="B184" s="1752"/>
      <c r="C184" s="1389"/>
      <c r="D184" s="1386"/>
      <c r="E184" s="880"/>
      <c r="F184" s="880"/>
      <c r="G184" s="880"/>
      <c r="H184" s="880"/>
      <c r="I184" s="1558" t="str">
        <f>IF(B184="","",_xll.BDP($B184,I$169))</f>
        <v/>
      </c>
      <c r="J184" s="1746"/>
      <c r="K184" s="1745"/>
      <c r="L184" s="1745"/>
      <c r="M184" s="1747"/>
      <c r="N184" s="1119"/>
      <c r="Q184" s="1589"/>
      <c r="R184" s="1713"/>
      <c r="T184" s="1415"/>
      <c r="U184" s="1712"/>
      <c r="V184" s="1119"/>
      <c r="W184" s="1119"/>
      <c r="X184" s="1119"/>
      <c r="Y184" s="1119"/>
      <c r="Z184" s="1119"/>
      <c r="AA184" s="1119"/>
      <c r="AB184" s="1119"/>
      <c r="AC184" s="1119"/>
      <c r="AD184" s="1119"/>
      <c r="AE184" s="1119"/>
    </row>
    <row r="185" spans="1:31" s="1714" customFormat="1" ht="15" customHeight="1">
      <c r="B185" s="1752"/>
      <c r="C185" s="1389"/>
      <c r="D185" s="1386"/>
      <c r="E185" s="880"/>
      <c r="F185" s="880"/>
      <c r="G185" s="880"/>
      <c r="H185" s="880"/>
      <c r="I185" s="1558" t="str">
        <f>IF(B185="","",_xll.BDP($B185,I$169))</f>
        <v/>
      </c>
      <c r="J185" s="1746"/>
      <c r="K185" s="1745"/>
      <c r="L185" s="1745"/>
      <c r="M185" s="1747"/>
      <c r="N185" s="1230"/>
      <c r="Q185" s="1589"/>
      <c r="R185" s="1713"/>
      <c r="T185" s="1415"/>
      <c r="U185" s="1715"/>
      <c r="V185" s="1716"/>
      <c r="W185" s="1230"/>
      <c r="X185" s="1230"/>
      <c r="Y185" s="1230"/>
      <c r="Z185" s="1230"/>
      <c r="AA185" s="1230"/>
      <c r="AB185" s="1230"/>
      <c r="AC185" s="1230"/>
      <c r="AD185" s="1230"/>
      <c r="AE185" s="1230"/>
    </row>
    <row r="186" spans="1:31">
      <c r="B186" s="1752"/>
      <c r="C186" s="1389"/>
      <c r="D186" s="1386"/>
      <c r="E186" s="880"/>
      <c r="F186" s="880"/>
      <c r="G186" s="880"/>
      <c r="H186" s="880"/>
      <c r="I186" s="1558" t="str">
        <f>IF(B186="","",_xll.BDP($B186,I$169))</f>
        <v/>
      </c>
      <c r="J186" s="1746"/>
      <c r="K186" s="1745"/>
      <c r="L186" s="1745"/>
      <c r="M186" s="1747"/>
      <c r="N186" s="1119"/>
      <c r="O186" s="1419"/>
      <c r="Q186" s="1589"/>
      <c r="R186" s="1713"/>
      <c r="T186" s="1415"/>
      <c r="U186" s="1712"/>
      <c r="V186" s="1119"/>
      <c r="W186" s="1119"/>
      <c r="X186" s="1119"/>
      <c r="Y186" s="1119"/>
      <c r="Z186" s="1119"/>
      <c r="AA186" s="1119"/>
      <c r="AB186" s="1119"/>
      <c r="AC186" s="1119"/>
      <c r="AD186" s="1119"/>
      <c r="AE186" s="1119"/>
    </row>
    <row r="187" spans="1:31">
      <c r="B187" s="1752"/>
      <c r="C187" s="1389"/>
      <c r="D187" s="1385"/>
      <c r="E187" s="497"/>
      <c r="F187" s="880"/>
      <c r="G187" s="497"/>
      <c r="H187" s="1743"/>
      <c r="I187" s="1558" t="str">
        <f>IF(B187="","",_xll.BDP($B187,I$169))</f>
        <v/>
      </c>
      <c r="J187" s="1746"/>
      <c r="K187" s="1745"/>
      <c r="L187" s="1745"/>
      <c r="M187" s="1747"/>
      <c r="N187" s="1119"/>
      <c r="Q187" s="1589"/>
      <c r="R187" s="1713"/>
      <c r="T187" s="1119"/>
      <c r="U187" s="1712"/>
      <c r="V187" s="1119"/>
      <c r="W187" s="1119"/>
      <c r="X187" s="1119"/>
      <c r="Y187" s="1119"/>
      <c r="Z187" s="1119"/>
      <c r="AA187" s="1119"/>
      <c r="AB187" s="1119"/>
      <c r="AC187" s="1119"/>
      <c r="AD187" s="1119"/>
      <c r="AE187" s="1119"/>
    </row>
    <row r="188" spans="1:31">
      <c r="B188" s="1752"/>
      <c r="C188" s="1389"/>
      <c r="D188" s="1385"/>
      <c r="E188" s="497"/>
      <c r="F188" s="1383"/>
      <c r="G188" s="497"/>
      <c r="H188" s="1743"/>
      <c r="I188" s="1558" t="str">
        <f>IF(B188="","",_xll.BDP($B188,I$169))</f>
        <v/>
      </c>
      <c r="J188" s="1746"/>
      <c r="K188" s="1745"/>
      <c r="L188" s="1745"/>
      <c r="M188" s="1747"/>
      <c r="N188" s="1119"/>
      <c r="Q188" s="1589"/>
      <c r="R188" s="1713"/>
      <c r="T188" s="1119"/>
      <c r="U188" s="1712"/>
      <c r="V188" s="1119"/>
      <c r="W188" s="1119"/>
      <c r="X188" s="1119"/>
      <c r="Y188" s="1119"/>
      <c r="Z188" s="1119"/>
      <c r="AA188" s="1119"/>
      <c r="AB188" s="1119"/>
      <c r="AC188" s="1119"/>
      <c r="AD188" s="1119"/>
      <c r="AE188" s="1119"/>
    </row>
    <row r="189" spans="1:31">
      <c r="B189" s="1752"/>
      <c r="C189" s="1389"/>
      <c r="D189" s="1385"/>
      <c r="E189" s="497"/>
      <c r="F189" s="1383"/>
      <c r="G189" s="497"/>
      <c r="H189" s="1743"/>
      <c r="I189" s="1558" t="str">
        <f>IF(B189="","",_xll.BDP($B189,I$169))</f>
        <v/>
      </c>
      <c r="J189" s="1746"/>
      <c r="K189" s="1745"/>
      <c r="L189" s="1745"/>
      <c r="M189" s="1747"/>
      <c r="N189" s="1119"/>
      <c r="Q189" s="1589"/>
      <c r="R189" s="1713"/>
      <c r="T189" s="1119"/>
      <c r="U189" s="1712"/>
      <c r="V189" s="1119"/>
      <c r="W189" s="1119"/>
      <c r="X189" s="1119"/>
      <c r="Y189" s="1119"/>
      <c r="Z189" s="1119"/>
      <c r="AA189" s="1119"/>
      <c r="AB189" s="1119"/>
      <c r="AC189" s="1119"/>
      <c r="AD189" s="1119"/>
      <c r="AE189" s="1119"/>
    </row>
    <row r="190" spans="1:31">
      <c r="B190" s="1752"/>
      <c r="C190" s="1389"/>
      <c r="D190" s="1385"/>
      <c r="E190" s="497"/>
      <c r="F190" s="1383"/>
      <c r="G190" s="497"/>
      <c r="H190" s="1743"/>
      <c r="I190" s="1558" t="str">
        <f>IF(B190="","",_xll.BDP($B190,I$169))</f>
        <v/>
      </c>
      <c r="J190" s="1746"/>
      <c r="K190" s="1745"/>
      <c r="L190" s="1745"/>
      <c r="M190" s="1747"/>
      <c r="N190" s="1119"/>
      <c r="Q190" s="1589"/>
      <c r="R190" s="1713"/>
      <c r="T190" s="1119"/>
      <c r="U190" s="1712"/>
      <c r="V190" s="1119"/>
      <c r="W190" s="1119"/>
      <c r="X190" s="1119"/>
      <c r="Y190" s="1119"/>
      <c r="Z190" s="1119"/>
      <c r="AA190" s="1119"/>
      <c r="AB190" s="1119"/>
      <c r="AC190" s="1119"/>
      <c r="AD190" s="1119"/>
      <c r="AE190" s="1119"/>
    </row>
    <row r="191" spans="1:31">
      <c r="B191" s="1752"/>
      <c r="C191" s="1389"/>
      <c r="D191" s="1385"/>
      <c r="E191" s="497"/>
      <c r="F191" s="1383"/>
      <c r="G191" s="497"/>
      <c r="H191" s="1743"/>
      <c r="I191" s="1558" t="str">
        <f>IF(B191="","",_xll.BDP($B191,I$169))</f>
        <v/>
      </c>
      <c r="J191" s="1746"/>
      <c r="K191" s="1745"/>
      <c r="L191" s="1745"/>
      <c r="M191" s="1747"/>
      <c r="N191" s="1119"/>
      <c r="Q191" s="1589"/>
      <c r="R191" s="1713"/>
      <c r="T191" s="1119"/>
      <c r="U191" s="1712"/>
      <c r="V191" s="1119"/>
      <c r="W191" s="1119"/>
      <c r="X191" s="1119"/>
      <c r="Y191" s="1119"/>
      <c r="Z191" s="1119"/>
      <c r="AA191" s="1119"/>
      <c r="AB191" s="1119"/>
      <c r="AC191" s="1119"/>
      <c r="AD191" s="1119"/>
      <c r="AE191" s="1119"/>
    </row>
    <row r="192" spans="1:31">
      <c r="A192" s="1119"/>
      <c r="B192" s="1753"/>
      <c r="C192" s="1390"/>
      <c r="D192" s="1387"/>
      <c r="E192" s="1388"/>
      <c r="F192" s="1391"/>
      <c r="G192" s="1388"/>
      <c r="H192" s="1744"/>
      <c r="I192" s="2041" t="str">
        <f>IF(B192="","",_xll.BDP($B192,I$169))</f>
        <v/>
      </c>
      <c r="J192" s="1748"/>
      <c r="K192" s="1749"/>
      <c r="L192" s="1749"/>
      <c r="M192" s="1750"/>
      <c r="N192" s="1119"/>
      <c r="Q192" s="1589"/>
      <c r="R192" s="1119"/>
      <c r="T192" s="1119"/>
      <c r="U192" s="1712"/>
      <c r="V192" s="1119"/>
      <c r="W192" s="1119"/>
      <c r="X192" s="1119"/>
      <c r="Y192" s="1119"/>
      <c r="Z192" s="1119"/>
      <c r="AA192" s="1119"/>
      <c r="AB192" s="1119"/>
      <c r="AC192" s="1119"/>
      <c r="AD192" s="1119"/>
      <c r="AE192" s="1119"/>
    </row>
    <row r="193" spans="1:31">
      <c r="A193" s="1119"/>
      <c r="B193" s="1589"/>
      <c r="C193" s="1119"/>
      <c r="D193" s="1119"/>
      <c r="E193" s="1119"/>
      <c r="F193" s="1681"/>
      <c r="G193" s="1682"/>
      <c r="H193" s="1119"/>
      <c r="I193" s="1119"/>
      <c r="J193" s="1119"/>
      <c r="K193" s="1119"/>
      <c r="L193" s="1119"/>
      <c r="M193" s="1119"/>
      <c r="N193" s="1119"/>
      <c r="O193" s="1119"/>
      <c r="P193" s="1119"/>
      <c r="Q193" s="1119"/>
      <c r="R193" s="1119"/>
      <c r="S193" s="1119"/>
      <c r="T193" s="1119"/>
      <c r="U193" s="1712"/>
      <c r="V193" s="1119"/>
      <c r="W193" s="1119"/>
      <c r="X193" s="1119"/>
      <c r="Y193" s="1119"/>
      <c r="Z193" s="1119"/>
      <c r="AA193" s="1119"/>
      <c r="AB193" s="1119"/>
      <c r="AC193" s="1119"/>
      <c r="AD193" s="1119"/>
      <c r="AE193" s="1119"/>
    </row>
    <row r="194" spans="1:31" ht="18.75">
      <c r="A194" s="1119"/>
      <c r="B194" s="1717" t="s">
        <v>1570</v>
      </c>
      <c r="D194" s="1119"/>
      <c r="E194" s="1119"/>
      <c r="F194" s="1119"/>
      <c r="G194" s="1119"/>
      <c r="H194" s="1119"/>
      <c r="I194" s="1119"/>
      <c r="M194" s="1119"/>
      <c r="N194" s="1119"/>
      <c r="O194" s="1119"/>
      <c r="P194" s="1119"/>
      <c r="Q194" s="1119"/>
      <c r="R194" s="1119"/>
      <c r="S194" s="1119"/>
      <c r="T194" s="1119"/>
      <c r="U194" s="1712"/>
      <c r="V194" s="1119"/>
      <c r="W194" s="1119"/>
      <c r="X194" s="1119"/>
      <c r="Y194" s="1119"/>
      <c r="Z194" s="1119"/>
      <c r="AA194" s="1119"/>
      <c r="AB194" s="1119"/>
      <c r="AC194" s="1119"/>
      <c r="AD194" s="1119"/>
      <c r="AE194" s="1119"/>
    </row>
    <row r="195" spans="1:31" ht="15.75">
      <c r="A195" s="1119"/>
      <c r="B195" s="1719" t="s">
        <v>1699</v>
      </c>
      <c r="D195" s="1119"/>
      <c r="E195" s="1119"/>
      <c r="F195" s="1119"/>
      <c r="G195" s="1119"/>
      <c r="H195" s="1119"/>
      <c r="I195" s="1119"/>
      <c r="M195" s="1119"/>
      <c r="N195" s="1119"/>
      <c r="O195" s="1119"/>
      <c r="P195" s="1119"/>
      <c r="Q195" s="1119"/>
      <c r="R195" s="1119"/>
      <c r="S195" s="1119"/>
      <c r="T195" s="1119"/>
      <c r="U195" s="1712"/>
      <c r="V195" s="1119"/>
      <c r="W195" s="1119"/>
      <c r="X195" s="1119"/>
      <c r="Y195" s="1119"/>
      <c r="Z195" s="1119"/>
      <c r="AA195" s="1119"/>
      <c r="AB195" s="1119"/>
      <c r="AC195" s="1119"/>
      <c r="AD195" s="1119"/>
      <c r="AE195" s="1119"/>
    </row>
    <row r="196" spans="1:31" ht="15.75">
      <c r="A196" s="1119"/>
      <c r="C196" s="1718" t="s">
        <v>1901</v>
      </c>
      <c r="I196" s="1412"/>
      <c r="J196" s="1412"/>
      <c r="K196" s="1412"/>
      <c r="T196" s="1119"/>
      <c r="U196" s="1712"/>
      <c r="V196" s="1119"/>
      <c r="W196" s="1119"/>
      <c r="X196" s="1119"/>
      <c r="Y196" s="1119"/>
      <c r="Z196" s="1119"/>
      <c r="AA196" s="1119"/>
      <c r="AB196" s="1119"/>
      <c r="AC196" s="1119"/>
      <c r="AD196" s="1119"/>
      <c r="AE196" s="1119"/>
    </row>
    <row r="197" spans="1:31">
      <c r="A197" s="1119"/>
      <c r="D197" s="1412" t="s">
        <v>1582</v>
      </c>
      <c r="E197" s="1117" t="s">
        <v>1583</v>
      </c>
      <c r="F197" s="1117" t="s">
        <v>1584</v>
      </c>
      <c r="G197" s="1117" t="s">
        <v>1585</v>
      </c>
      <c r="H197" s="1117" t="s">
        <v>1586</v>
      </c>
      <c r="I197" s="1117" t="s">
        <v>1561</v>
      </c>
      <c r="J197" s="1117" t="s">
        <v>1587</v>
      </c>
      <c r="K197" s="1117" t="s">
        <v>1588</v>
      </c>
      <c r="L197" s="1117" t="s">
        <v>1589</v>
      </c>
      <c r="M197" s="1117" t="s">
        <v>1590</v>
      </c>
      <c r="N197" s="1117" t="s">
        <v>1563</v>
      </c>
      <c r="O197" s="1117" t="s">
        <v>1591</v>
      </c>
      <c r="P197" s="1117" t="s">
        <v>1592</v>
      </c>
      <c r="Q197" s="1117" t="s">
        <v>1593</v>
      </c>
      <c r="R197" s="1117" t="s">
        <v>1594</v>
      </c>
      <c r="S197" s="1117" t="s">
        <v>1595</v>
      </c>
      <c r="T197" s="1119"/>
      <c r="U197" s="1712"/>
      <c r="V197" s="1119"/>
      <c r="W197" s="1119"/>
      <c r="X197" s="1119"/>
      <c r="Y197" s="1119"/>
      <c r="Z197" s="1119"/>
      <c r="AA197" s="1119"/>
      <c r="AB197" s="1119"/>
      <c r="AC197" s="1119"/>
      <c r="AD197" s="1119"/>
      <c r="AE197" s="1119"/>
    </row>
    <row r="198" spans="1:31">
      <c r="A198" s="1119"/>
      <c r="B198" s="1739" t="s">
        <v>1571</v>
      </c>
      <c r="C198" s="1213"/>
      <c r="D198" s="1194" t="s">
        <v>1200</v>
      </c>
      <c r="E198" s="1194" t="s">
        <v>1165</v>
      </c>
      <c r="F198" s="1194" t="s">
        <v>565</v>
      </c>
      <c r="G198" s="1194" t="s">
        <v>1572</v>
      </c>
      <c r="H198" s="1194" t="s">
        <v>1573</v>
      </c>
      <c r="I198" s="1194" t="s">
        <v>1163</v>
      </c>
      <c r="J198" s="1194" t="s">
        <v>1574</v>
      </c>
      <c r="K198" s="1194" t="s">
        <v>1575</v>
      </c>
      <c r="L198" s="1194" t="s">
        <v>1258</v>
      </c>
      <c r="M198" s="1194" t="s">
        <v>1576</v>
      </c>
      <c r="N198" s="1194" t="s">
        <v>1577</v>
      </c>
      <c r="O198" s="1194" t="s">
        <v>1578</v>
      </c>
      <c r="P198" s="1194" t="s">
        <v>1579</v>
      </c>
      <c r="Q198" s="1194" t="s">
        <v>1580</v>
      </c>
      <c r="R198" s="1194" t="s">
        <v>1166</v>
      </c>
      <c r="S198" s="1194" t="s">
        <v>1581</v>
      </c>
      <c r="T198" s="1119"/>
      <c r="U198" s="1119"/>
      <c r="V198" s="1119"/>
      <c r="W198" s="1119"/>
      <c r="X198" s="1119"/>
      <c r="Y198" s="1119"/>
      <c r="Z198" s="1119"/>
      <c r="AA198" s="1119"/>
      <c r="AB198" s="1119"/>
      <c r="AC198" s="1119"/>
      <c r="AD198" s="1119"/>
      <c r="AE198" s="1119"/>
    </row>
    <row r="199" spans="1:31" ht="15.75">
      <c r="B199" s="1740">
        <v>42170</v>
      </c>
      <c r="C199" s="1056" t="e">
        <f>_xll.BDS($B$198,"CURVE_MEMBERS","CURVE_DATE="&amp;TEXT(B199,"YYYYMMDD"),"headers=yes","dir=h","cols=17;rows=1")</f>
        <v>#N/A</v>
      </c>
      <c r="D199" s="1057" t="s">
        <v>1582</v>
      </c>
      <c r="E199" s="1058" t="s">
        <v>1583</v>
      </c>
      <c r="F199" s="1058" t="s">
        <v>1584</v>
      </c>
      <c r="G199" s="1058" t="s">
        <v>1585</v>
      </c>
      <c r="H199" s="1059" t="s">
        <v>1586</v>
      </c>
      <c r="I199" s="76" t="s">
        <v>1561</v>
      </c>
      <c r="J199" s="76" t="s">
        <v>1587</v>
      </c>
      <c r="K199" s="76" t="s">
        <v>1588</v>
      </c>
      <c r="L199" s="1059" t="s">
        <v>1589</v>
      </c>
      <c r="M199" s="76" t="s">
        <v>1590</v>
      </c>
      <c r="N199" s="76" t="s">
        <v>1563</v>
      </c>
      <c r="O199" s="76" t="s">
        <v>1591</v>
      </c>
      <c r="P199" s="76" t="s">
        <v>1592</v>
      </c>
      <c r="Q199" s="76" t="s">
        <v>1593</v>
      </c>
      <c r="R199" s="76" t="s">
        <v>1594</v>
      </c>
      <c r="S199" s="23" t="s">
        <v>1595</v>
      </c>
      <c r="T199" s="1119"/>
      <c r="U199" s="1119"/>
      <c r="V199" s="1119"/>
      <c r="W199" s="1119"/>
      <c r="X199" s="1119"/>
      <c r="Y199" s="1119"/>
      <c r="Z199" s="1119"/>
      <c r="AA199" s="1119"/>
      <c r="AB199" s="1119"/>
      <c r="AC199" s="1119"/>
      <c r="AD199" s="1119"/>
      <c r="AE199" s="1119"/>
    </row>
    <row r="200" spans="1:31" ht="15.75">
      <c r="B200" s="1740">
        <v>42171</v>
      </c>
      <c r="C200" s="1056" t="e">
        <f>_xll.BDS($B$116,"CURVE_MEMBERS","CURVE_DATE="&amp;TEXT(B200,"YYYYMMDD"),"headers=yes","dir=h","cols=17;rows=1")</f>
        <v>#N/A</v>
      </c>
      <c r="D200" s="963" t="s">
        <v>1582</v>
      </c>
      <c r="E200" s="404" t="s">
        <v>1583</v>
      </c>
      <c r="F200" s="404" t="s">
        <v>1584</v>
      </c>
      <c r="G200" s="404" t="s">
        <v>1585</v>
      </c>
      <c r="H200" s="296" t="s">
        <v>1586</v>
      </c>
      <c r="I200" s="1585" t="s">
        <v>1561</v>
      </c>
      <c r="J200" s="1585" t="s">
        <v>1587</v>
      </c>
      <c r="K200" s="1585" t="s">
        <v>1588</v>
      </c>
      <c r="L200" s="1585" t="s">
        <v>1589</v>
      </c>
      <c r="M200" s="1585" t="s">
        <v>1590</v>
      </c>
      <c r="N200" s="1585" t="s">
        <v>1563</v>
      </c>
      <c r="O200" s="1585" t="s">
        <v>1591</v>
      </c>
      <c r="P200" s="1585" t="s">
        <v>1592</v>
      </c>
      <c r="Q200" s="1585" t="s">
        <v>1593</v>
      </c>
      <c r="R200" s="1585" t="s">
        <v>1594</v>
      </c>
      <c r="S200" s="24" t="s">
        <v>1595</v>
      </c>
      <c r="V200" s="1119"/>
      <c r="W200" s="1119"/>
      <c r="X200" s="1119"/>
      <c r="Y200" s="1119"/>
      <c r="Z200" s="1119"/>
      <c r="AA200" s="1119"/>
      <c r="AB200" s="1119"/>
      <c r="AC200" s="1119"/>
      <c r="AD200" s="1119"/>
      <c r="AE200" s="1119"/>
    </row>
    <row r="201" spans="1:31" ht="15.75">
      <c r="B201" s="1740">
        <v>42172</v>
      </c>
      <c r="C201" s="1056" t="e">
        <f>_xll.BDS($B$116,"CURVE_MEMBERS","CURVE_DATE="&amp;TEXT(B201,"YYYYMMDD"),"headers=yes","dir=h","cols=17;rows=1")</f>
        <v>#N/A</v>
      </c>
      <c r="D201" s="1060" t="s">
        <v>1582</v>
      </c>
      <c r="E201" s="404" t="s">
        <v>1583</v>
      </c>
      <c r="F201" s="404" t="s">
        <v>1584</v>
      </c>
      <c r="G201" s="404" t="s">
        <v>1585</v>
      </c>
      <c r="H201" s="296" t="s">
        <v>1586</v>
      </c>
      <c r="I201" s="1585" t="s">
        <v>1561</v>
      </c>
      <c r="J201" s="1061" t="s">
        <v>1596</v>
      </c>
      <c r="K201" s="1585" t="s">
        <v>1588</v>
      </c>
      <c r="L201" s="1585" t="s">
        <v>1589</v>
      </c>
      <c r="M201" s="1585" t="s">
        <v>1590</v>
      </c>
      <c r="N201" s="1585" t="s">
        <v>1563</v>
      </c>
      <c r="O201" s="1585" t="s">
        <v>1591</v>
      </c>
      <c r="P201" s="1585" t="s">
        <v>1592</v>
      </c>
      <c r="Q201" s="1585" t="s">
        <v>1593</v>
      </c>
      <c r="R201" s="1585" t="s">
        <v>1594</v>
      </c>
      <c r="S201" s="24" t="s">
        <v>1595</v>
      </c>
      <c r="V201" s="1119"/>
      <c r="W201" s="1119"/>
      <c r="X201" s="1119"/>
      <c r="Y201" s="1119"/>
      <c r="Z201" s="1119"/>
      <c r="AA201" s="1119"/>
      <c r="AB201" s="1119"/>
      <c r="AC201" s="1119"/>
      <c r="AD201" s="1119"/>
      <c r="AE201" s="1119"/>
    </row>
    <row r="202" spans="1:31" ht="15.75">
      <c r="B202" s="1740">
        <v>42173</v>
      </c>
      <c r="C202" s="1056" t="e">
        <f>_xll.BDS($B$116,"CURVE_MEMBERS","CURVE_DATE="&amp;TEXT(B202,"YYYYMMDD"),"headers=yes","dir=h","cols=17;rows=1")</f>
        <v>#N/A</v>
      </c>
      <c r="D202" s="1062" t="s">
        <v>1582</v>
      </c>
      <c r="E202" s="404" t="s">
        <v>1583</v>
      </c>
      <c r="F202" s="404" t="s">
        <v>1584</v>
      </c>
      <c r="G202" s="404" t="s">
        <v>1585</v>
      </c>
      <c r="H202" s="296" t="s">
        <v>1586</v>
      </c>
      <c r="I202" s="296" t="s">
        <v>1561</v>
      </c>
      <c r="J202" s="296" t="s">
        <v>1596</v>
      </c>
      <c r="K202" s="296" t="s">
        <v>1588</v>
      </c>
      <c r="L202" s="296" t="s">
        <v>1589</v>
      </c>
      <c r="M202" s="296" t="s">
        <v>1590</v>
      </c>
      <c r="N202" s="1585" t="s">
        <v>1563</v>
      </c>
      <c r="O202" s="1585" t="s">
        <v>1591</v>
      </c>
      <c r="P202" s="1585" t="s">
        <v>1592</v>
      </c>
      <c r="Q202" s="1585" t="s">
        <v>1593</v>
      </c>
      <c r="R202" s="1585" t="s">
        <v>1594</v>
      </c>
      <c r="S202" s="24" t="s">
        <v>1595</v>
      </c>
    </row>
    <row r="203" spans="1:31" ht="15.75">
      <c r="B203" s="1740">
        <v>42174</v>
      </c>
      <c r="C203" s="1056" t="e">
        <f>_xll.BDS($B$116,"CURVE_MEMBERS","CURVE_DATE="&amp;TEXT(B203,"YYYYMMDD"),"headers=yes","dir=h","cols=17;rows=1")</f>
        <v>#N/A</v>
      </c>
      <c r="D203" s="1062" t="s">
        <v>1703</v>
      </c>
      <c r="E203" s="404" t="s">
        <v>1583</v>
      </c>
      <c r="F203" s="404" t="s">
        <v>1584</v>
      </c>
      <c r="G203" s="404" t="s">
        <v>1585</v>
      </c>
      <c r="H203" s="296" t="s">
        <v>1586</v>
      </c>
      <c r="I203" s="296" t="s">
        <v>1561</v>
      </c>
      <c r="J203" s="296" t="s">
        <v>1596</v>
      </c>
      <c r="K203" s="296" t="s">
        <v>1588</v>
      </c>
      <c r="L203" s="296" t="s">
        <v>1589</v>
      </c>
      <c r="M203" s="296" t="s">
        <v>1590</v>
      </c>
      <c r="N203" s="1585" t="s">
        <v>1563</v>
      </c>
      <c r="O203" s="1585" t="s">
        <v>1591</v>
      </c>
      <c r="P203" s="1585" t="s">
        <v>1592</v>
      </c>
      <c r="Q203" s="1585" t="s">
        <v>1593</v>
      </c>
      <c r="R203" s="1585" t="s">
        <v>1594</v>
      </c>
      <c r="S203" s="24" t="s">
        <v>1595</v>
      </c>
      <c r="W203" s="1720"/>
    </row>
    <row r="204" spans="1:31" ht="15.75">
      <c r="B204" s="1740">
        <v>42177</v>
      </c>
      <c r="C204" s="1056" t="e">
        <f>_xll.BDS($B$116,"CURVE_MEMBERS","CURVE_DATE="&amp;TEXT(B204,"YYYYMMDD"),"headers=yes","dir=h","cols=17;rows=1")</f>
        <v>#N/A</v>
      </c>
      <c r="D204" s="963" t="s">
        <v>1703</v>
      </c>
      <c r="E204" s="404" t="s">
        <v>1583</v>
      </c>
      <c r="F204" s="404" t="s">
        <v>1584</v>
      </c>
      <c r="G204" s="404" t="s">
        <v>1585</v>
      </c>
      <c r="H204" s="296" t="s">
        <v>1586</v>
      </c>
      <c r="I204" s="1585" t="s">
        <v>1561</v>
      </c>
      <c r="J204" s="1585" t="s">
        <v>1596</v>
      </c>
      <c r="K204" s="1585" t="s">
        <v>1588</v>
      </c>
      <c r="L204" s="1585" t="s">
        <v>1589</v>
      </c>
      <c r="M204" s="1585" t="s">
        <v>1590</v>
      </c>
      <c r="N204" s="1585" t="s">
        <v>1563</v>
      </c>
      <c r="O204" s="1585" t="s">
        <v>1591</v>
      </c>
      <c r="P204" s="1585" t="s">
        <v>1592</v>
      </c>
      <c r="Q204" s="1585" t="s">
        <v>1593</v>
      </c>
      <c r="R204" s="1585" t="s">
        <v>1594</v>
      </c>
      <c r="S204" s="24" t="s">
        <v>1595</v>
      </c>
      <c r="W204" s="1720"/>
    </row>
    <row r="205" spans="1:31" ht="15.75">
      <c r="B205" s="1740">
        <v>42178</v>
      </c>
      <c r="C205" s="1056" t="e">
        <f>_xll.BDS($B$116,"CURVE_MEMBERS","CURVE_DATE="&amp;TEXT(B205,"YYYYMMDD"),"headers=yes","dir=h","cols=17;rows=1")</f>
        <v>#N/A</v>
      </c>
      <c r="D205" s="963" t="s">
        <v>1703</v>
      </c>
      <c r="E205" s="404" t="s">
        <v>1583</v>
      </c>
      <c r="F205" s="404" t="s">
        <v>1584</v>
      </c>
      <c r="G205" s="404" t="s">
        <v>1585</v>
      </c>
      <c r="H205" s="296" t="s">
        <v>1586</v>
      </c>
      <c r="I205" s="1585" t="s">
        <v>1561</v>
      </c>
      <c r="J205" s="1585" t="s">
        <v>1596</v>
      </c>
      <c r="K205" s="1585" t="s">
        <v>1588</v>
      </c>
      <c r="L205" s="1585" t="s">
        <v>1589</v>
      </c>
      <c r="M205" s="1585" t="s">
        <v>1590</v>
      </c>
      <c r="N205" s="1585" t="s">
        <v>1563</v>
      </c>
      <c r="O205" s="1585" t="s">
        <v>1591</v>
      </c>
      <c r="P205" s="1585" t="s">
        <v>1592</v>
      </c>
      <c r="Q205" s="1585" t="s">
        <v>1593</v>
      </c>
      <c r="R205" s="1585" t="s">
        <v>1594</v>
      </c>
      <c r="S205" s="24" t="s">
        <v>1595</v>
      </c>
      <c r="W205" s="1720"/>
    </row>
    <row r="206" spans="1:31" ht="15.75">
      <c r="B206" s="1740">
        <v>42179</v>
      </c>
      <c r="C206" s="1056" t="e">
        <f>_xll.BDS($B$116,"CURVE_MEMBERS","CURVE_DATE="&amp;TEXT(B206,"YYYYMMDD"),"headers=yes","dir=h","cols=17;rows=1")</f>
        <v>#N/A</v>
      </c>
      <c r="D206" s="1060" t="s">
        <v>1703</v>
      </c>
      <c r="E206" s="404" t="s">
        <v>1583</v>
      </c>
      <c r="F206" s="404" t="s">
        <v>1584</v>
      </c>
      <c r="G206" s="404" t="s">
        <v>1585</v>
      </c>
      <c r="H206" s="296" t="s">
        <v>1586</v>
      </c>
      <c r="I206" s="1585" t="s">
        <v>1561</v>
      </c>
      <c r="J206" s="1585" t="s">
        <v>1596</v>
      </c>
      <c r="K206" s="1585" t="s">
        <v>1588</v>
      </c>
      <c r="L206" s="1585" t="s">
        <v>1589</v>
      </c>
      <c r="M206" s="1585" t="s">
        <v>1590</v>
      </c>
      <c r="N206" s="1585" t="s">
        <v>1563</v>
      </c>
      <c r="O206" s="1585" t="s">
        <v>1591</v>
      </c>
      <c r="P206" s="1585" t="s">
        <v>1592</v>
      </c>
      <c r="Q206" s="1585" t="s">
        <v>1593</v>
      </c>
      <c r="R206" s="1585" t="s">
        <v>1594</v>
      </c>
      <c r="S206" s="24" t="s">
        <v>1595</v>
      </c>
      <c r="W206" s="1720"/>
    </row>
    <row r="207" spans="1:31" ht="15.75">
      <c r="B207" s="1740">
        <v>42180</v>
      </c>
      <c r="C207" s="1056" t="e">
        <f>_xll.BDS($B$116,"CURVE_MEMBERS","CURVE_DATE="&amp;TEXT(B207,"YYYYMMDD"),"headers=yes","dir=h","cols=17;rows=1")</f>
        <v>#N/A</v>
      </c>
      <c r="D207" s="963" t="s">
        <v>1703</v>
      </c>
      <c r="E207" s="404" t="s">
        <v>1583</v>
      </c>
      <c r="F207" s="404" t="s">
        <v>1584</v>
      </c>
      <c r="G207" s="404" t="s">
        <v>1585</v>
      </c>
      <c r="H207" s="296" t="s">
        <v>1586</v>
      </c>
      <c r="I207" s="1585" t="s">
        <v>1561</v>
      </c>
      <c r="J207" s="1585" t="s">
        <v>1596</v>
      </c>
      <c r="K207" s="1585" t="s">
        <v>1588</v>
      </c>
      <c r="L207" s="1585" t="s">
        <v>1589</v>
      </c>
      <c r="M207" s="1585" t="s">
        <v>1590</v>
      </c>
      <c r="N207" s="1585" t="s">
        <v>1563</v>
      </c>
      <c r="O207" s="1585" t="s">
        <v>1591</v>
      </c>
      <c r="P207" s="1585" t="s">
        <v>1592</v>
      </c>
      <c r="Q207" s="1585" t="s">
        <v>1593</v>
      </c>
      <c r="R207" s="1585" t="s">
        <v>1594</v>
      </c>
      <c r="S207" s="24" t="s">
        <v>1595</v>
      </c>
      <c r="W207" s="1720"/>
    </row>
    <row r="208" spans="1:31" ht="15.75">
      <c r="B208" s="1740">
        <v>42181</v>
      </c>
      <c r="C208" s="1056" t="e">
        <f>_xll.BDS($B$116,"CURVE_MEMBERS","CURVE_DATE="&amp;TEXT(B208,"YYYYMMDD"),"headers=yes","dir=h","cols=17;rows=1")</f>
        <v>#N/A</v>
      </c>
      <c r="D208" s="963" t="s">
        <v>1702</v>
      </c>
      <c r="E208" s="1585" t="s">
        <v>1583</v>
      </c>
      <c r="F208" s="1061" t="s">
        <v>1597</v>
      </c>
      <c r="G208" s="1061" t="s">
        <v>1598</v>
      </c>
      <c r="H208" s="296" t="s">
        <v>1586</v>
      </c>
      <c r="I208" s="1585" t="s">
        <v>1561</v>
      </c>
      <c r="J208" s="1585" t="s">
        <v>1596</v>
      </c>
      <c r="K208" s="1585" t="s">
        <v>1588</v>
      </c>
      <c r="L208" s="1585" t="s">
        <v>1589</v>
      </c>
      <c r="M208" s="1585" t="s">
        <v>1590</v>
      </c>
      <c r="N208" s="1585" t="s">
        <v>1563</v>
      </c>
      <c r="O208" s="1585" t="s">
        <v>1591</v>
      </c>
      <c r="P208" s="1585" t="s">
        <v>1592</v>
      </c>
      <c r="Q208" s="1585" t="s">
        <v>1593</v>
      </c>
      <c r="R208" s="1585" t="s">
        <v>1594</v>
      </c>
      <c r="S208" s="24" t="s">
        <v>1595</v>
      </c>
      <c r="W208" s="1720"/>
    </row>
    <row r="209" spans="2:23" ht="15.75">
      <c r="B209" s="1740">
        <v>42184</v>
      </c>
      <c r="C209" s="1056" t="e">
        <f>_xll.BDS($B$116,"CURVE_MEMBERS","CURVE_DATE="&amp;TEXT(B209,"YYYYMMDD"),"headers=yes","dir=h","cols=17;rows=1")</f>
        <v>#N/A</v>
      </c>
      <c r="D209" s="963" t="s">
        <v>1702</v>
      </c>
      <c r="E209" s="1585" t="s">
        <v>1583</v>
      </c>
      <c r="F209" s="1585" t="s">
        <v>1597</v>
      </c>
      <c r="G209" s="1585" t="s">
        <v>1598</v>
      </c>
      <c r="H209" s="1585" t="s">
        <v>1586</v>
      </c>
      <c r="I209" s="1585" t="s">
        <v>1561</v>
      </c>
      <c r="J209" s="1585" t="s">
        <v>1596</v>
      </c>
      <c r="K209" s="1585" t="s">
        <v>1588</v>
      </c>
      <c r="L209" s="1585" t="s">
        <v>1589</v>
      </c>
      <c r="M209" s="1585" t="s">
        <v>1590</v>
      </c>
      <c r="N209" s="1585" t="s">
        <v>1563</v>
      </c>
      <c r="O209" s="1585" t="s">
        <v>1591</v>
      </c>
      <c r="P209" s="1585" t="s">
        <v>1592</v>
      </c>
      <c r="Q209" s="1585" t="s">
        <v>1593</v>
      </c>
      <c r="R209" s="1585" t="s">
        <v>1594</v>
      </c>
      <c r="S209" s="24" t="s">
        <v>1595</v>
      </c>
      <c r="W209" s="1720"/>
    </row>
    <row r="210" spans="2:23" ht="15.75">
      <c r="B210" s="1740">
        <v>42185</v>
      </c>
      <c r="C210" s="1056" t="e">
        <f>_xll.BDS($B$116,"CURVE_MEMBERS","CURVE_DATE="&amp;TEXT(B210,"YYYYMMDD"),"headers=yes","dir=h","cols=17;rows=1")</f>
        <v>#N/A</v>
      </c>
      <c r="D210" s="963" t="s">
        <v>1702</v>
      </c>
      <c r="E210" s="1585" t="s">
        <v>1583</v>
      </c>
      <c r="F210" s="1585" t="s">
        <v>1597</v>
      </c>
      <c r="G210" s="1585" t="s">
        <v>1598</v>
      </c>
      <c r="H210" s="1585" t="s">
        <v>1586</v>
      </c>
      <c r="I210" s="1585" t="s">
        <v>1561</v>
      </c>
      <c r="J210" s="1585" t="s">
        <v>1596</v>
      </c>
      <c r="K210" s="1585" t="s">
        <v>1588</v>
      </c>
      <c r="L210" s="1585" t="s">
        <v>1589</v>
      </c>
      <c r="M210" s="1585" t="s">
        <v>1590</v>
      </c>
      <c r="N210" s="1585" t="s">
        <v>1563</v>
      </c>
      <c r="O210" s="1585" t="s">
        <v>1591</v>
      </c>
      <c r="P210" s="1585" t="s">
        <v>1592</v>
      </c>
      <c r="Q210" s="1585" t="s">
        <v>1593</v>
      </c>
      <c r="R210" s="1585" t="s">
        <v>1594</v>
      </c>
      <c r="S210" s="24" t="s">
        <v>1595</v>
      </c>
      <c r="W210" s="1720"/>
    </row>
    <row r="211" spans="2:23" ht="15.75">
      <c r="B211" s="1740">
        <v>42186</v>
      </c>
      <c r="C211" s="1056" t="e">
        <f>_xll.BDS($B$116,"CURVE_MEMBERS","CURVE_DATE="&amp;TEXT(B211,"YYYYMMDD"),"headers=yes","dir=h","cols=17;rows=1")</f>
        <v>#N/A</v>
      </c>
      <c r="D211" s="1060" t="s">
        <v>1702</v>
      </c>
      <c r="E211" s="1585" t="s">
        <v>1583</v>
      </c>
      <c r="F211" s="1585" t="s">
        <v>1597</v>
      </c>
      <c r="G211" s="1585" t="s">
        <v>1598</v>
      </c>
      <c r="H211" s="1585" t="s">
        <v>1586</v>
      </c>
      <c r="I211" s="1585" t="s">
        <v>1561</v>
      </c>
      <c r="J211" s="1585" t="s">
        <v>1596</v>
      </c>
      <c r="K211" s="1585" t="s">
        <v>1588</v>
      </c>
      <c r="L211" s="1585" t="s">
        <v>1589</v>
      </c>
      <c r="M211" s="1585" t="s">
        <v>1590</v>
      </c>
      <c r="N211" s="1585" t="s">
        <v>1563</v>
      </c>
      <c r="O211" s="1585" t="s">
        <v>1591</v>
      </c>
      <c r="P211" s="1585" t="s">
        <v>1592</v>
      </c>
      <c r="Q211" s="1585" t="s">
        <v>1593</v>
      </c>
      <c r="R211" s="1585" t="s">
        <v>1594</v>
      </c>
      <c r="S211" s="24" t="s">
        <v>1595</v>
      </c>
      <c r="W211" s="1720"/>
    </row>
    <row r="212" spans="2:23" ht="15.75">
      <c r="B212" s="1741">
        <v>42187</v>
      </c>
      <c r="C212" s="1056" t="e">
        <f>_xll.BDS($B$116,"CURVE_MEMBERS","CURVE_DATE="&amp;TEXT(B212,"YYYYMMDD"),"headers=yes","dir=h","cols=17;rows=1")</f>
        <v>#N/A</v>
      </c>
      <c r="D212" s="1063" t="s">
        <v>1702</v>
      </c>
      <c r="E212" s="844" t="s">
        <v>1583</v>
      </c>
      <c r="F212" s="844" t="s">
        <v>1597</v>
      </c>
      <c r="G212" s="844" t="s">
        <v>1598</v>
      </c>
      <c r="H212" s="844" t="s">
        <v>1586</v>
      </c>
      <c r="I212" s="844" t="s">
        <v>1561</v>
      </c>
      <c r="J212" s="844" t="s">
        <v>1596</v>
      </c>
      <c r="K212" s="844" t="s">
        <v>1588</v>
      </c>
      <c r="L212" s="844" t="s">
        <v>1589</v>
      </c>
      <c r="M212" s="844" t="s">
        <v>1590</v>
      </c>
      <c r="N212" s="1585" t="s">
        <v>1563</v>
      </c>
      <c r="O212" s="1585" t="s">
        <v>1591</v>
      </c>
      <c r="P212" s="1585" t="s">
        <v>1592</v>
      </c>
      <c r="Q212" s="1585" t="s">
        <v>1593</v>
      </c>
      <c r="R212" s="1585" t="s">
        <v>1594</v>
      </c>
      <c r="S212" s="24" t="s">
        <v>1595</v>
      </c>
      <c r="W212" s="1720"/>
    </row>
    <row r="213" spans="2:23" ht="15.75">
      <c r="B213" s="1740">
        <v>42188</v>
      </c>
      <c r="C213" s="1056" t="e">
        <f>_xll.BDS($B$116,"CURVE_MEMBERS","CURVE_DATE="&amp;TEXT(B213,"YYYYMMDD"),"headers=yes","dir=h","cols=17;rows=1")</f>
        <v>#N/A</v>
      </c>
      <c r="D213" s="963" t="s">
        <v>1599</v>
      </c>
      <c r="E213" s="1585" t="s">
        <v>1583</v>
      </c>
      <c r="F213" s="1585" t="s">
        <v>1597</v>
      </c>
      <c r="G213" s="1585" t="s">
        <v>1598</v>
      </c>
      <c r="H213" s="1585" t="s">
        <v>1586</v>
      </c>
      <c r="I213" s="1585" t="s">
        <v>1561</v>
      </c>
      <c r="J213" s="1585" t="s">
        <v>1596</v>
      </c>
      <c r="K213" s="1585" t="s">
        <v>1588</v>
      </c>
      <c r="L213" s="1585" t="s">
        <v>1589</v>
      </c>
      <c r="M213" s="1585" t="s">
        <v>1590</v>
      </c>
      <c r="N213" s="1585" t="s">
        <v>1563</v>
      </c>
      <c r="O213" s="1585" t="s">
        <v>1591</v>
      </c>
      <c r="P213" s="1585" t="s">
        <v>1592</v>
      </c>
      <c r="Q213" s="1585" t="s">
        <v>1593</v>
      </c>
      <c r="R213" s="1585" t="s">
        <v>1594</v>
      </c>
      <c r="S213" s="24" t="s">
        <v>1595</v>
      </c>
      <c r="W213" s="1720"/>
    </row>
    <row r="214" spans="2:23" ht="15.75">
      <c r="B214" s="1740">
        <v>42191</v>
      </c>
      <c r="C214" s="1056" t="e">
        <f>_xll.BDS($B$116,"CURVE_MEMBERS","CURVE_DATE="&amp;TEXT(B214,"YYYYMMDD"),"headers=yes","dir=h","cols=17;rows=1")</f>
        <v>#N/A</v>
      </c>
      <c r="D214" s="963" t="s">
        <v>1599</v>
      </c>
      <c r="E214" s="1585" t="s">
        <v>1583</v>
      </c>
      <c r="F214" s="1585" t="s">
        <v>1597</v>
      </c>
      <c r="G214" s="1585" t="s">
        <v>1598</v>
      </c>
      <c r="H214" s="1585" t="s">
        <v>1586</v>
      </c>
      <c r="I214" s="1585" t="s">
        <v>1561</v>
      </c>
      <c r="J214" s="1585" t="s">
        <v>1596</v>
      </c>
      <c r="K214" s="1585" t="s">
        <v>1588</v>
      </c>
      <c r="L214" s="1585" t="s">
        <v>1589</v>
      </c>
      <c r="M214" s="1585" t="s">
        <v>1590</v>
      </c>
      <c r="N214" s="1585" t="s">
        <v>1563</v>
      </c>
      <c r="O214" s="1585" t="s">
        <v>1591</v>
      </c>
      <c r="P214" s="1585" t="s">
        <v>1592</v>
      </c>
      <c r="Q214" s="1585" t="s">
        <v>1593</v>
      </c>
      <c r="R214" s="1585" t="s">
        <v>1594</v>
      </c>
      <c r="S214" s="24" t="s">
        <v>1595</v>
      </c>
      <c r="W214" s="1720"/>
    </row>
    <row r="215" spans="2:23" ht="15.75">
      <c r="B215" s="1740">
        <v>42192</v>
      </c>
      <c r="C215" s="1056" t="e">
        <f>_xll.BDS($B$116,"CURVE_MEMBERS","CURVE_DATE="&amp;TEXT(B215,"YYYYMMDD"),"headers=yes","dir=h","cols=17;rows=1")</f>
        <v>#N/A</v>
      </c>
      <c r="D215" s="963" t="s">
        <v>1599</v>
      </c>
      <c r="E215" s="1585" t="s">
        <v>1583</v>
      </c>
      <c r="F215" s="1585" t="s">
        <v>1597</v>
      </c>
      <c r="G215" s="1585" t="s">
        <v>1598</v>
      </c>
      <c r="H215" s="1585" t="s">
        <v>1586</v>
      </c>
      <c r="I215" s="1585" t="s">
        <v>1561</v>
      </c>
      <c r="J215" s="1585" t="s">
        <v>1596</v>
      </c>
      <c r="K215" s="1585" t="s">
        <v>1588</v>
      </c>
      <c r="L215" s="1585" t="s">
        <v>1589</v>
      </c>
      <c r="M215" s="1585" t="s">
        <v>1590</v>
      </c>
      <c r="N215" s="1585" t="s">
        <v>1563</v>
      </c>
      <c r="O215" s="1585" t="s">
        <v>1591</v>
      </c>
      <c r="P215" s="1585" t="s">
        <v>1592</v>
      </c>
      <c r="Q215" s="1585" t="s">
        <v>1593</v>
      </c>
      <c r="R215" s="1585" t="s">
        <v>1594</v>
      </c>
      <c r="S215" s="24" t="s">
        <v>1595</v>
      </c>
      <c r="W215" s="1720"/>
    </row>
    <row r="216" spans="2:23" ht="15.75">
      <c r="B216" s="1740">
        <v>42193</v>
      </c>
      <c r="C216" s="1056" t="e">
        <f>_xll.BDS($B$116,"CURVE_MEMBERS","CURVE_DATE="&amp;TEXT(B216,"YYYYMMDD"),"headers=yes","dir=h","cols=17;rows=1")</f>
        <v>#N/A</v>
      </c>
      <c r="D216" s="1060" t="s">
        <v>1599</v>
      </c>
      <c r="E216" s="1585" t="s">
        <v>1583</v>
      </c>
      <c r="F216" s="1585" t="s">
        <v>1597</v>
      </c>
      <c r="G216" s="1585" t="s">
        <v>1598</v>
      </c>
      <c r="H216" s="1585" t="s">
        <v>1600</v>
      </c>
      <c r="I216" s="1061" t="s">
        <v>1601</v>
      </c>
      <c r="J216" s="1585" t="s">
        <v>1596</v>
      </c>
      <c r="K216" s="1061" t="s">
        <v>1602</v>
      </c>
      <c r="L216" s="1061" t="s">
        <v>1603</v>
      </c>
      <c r="M216" s="1061" t="s">
        <v>1562</v>
      </c>
      <c r="N216" s="1061" t="s">
        <v>1569</v>
      </c>
      <c r="O216" s="1585" t="s">
        <v>1591</v>
      </c>
      <c r="P216" s="1061" t="s">
        <v>1604</v>
      </c>
      <c r="Q216" s="1585" t="s">
        <v>1593</v>
      </c>
      <c r="R216" s="1585" t="s">
        <v>1594</v>
      </c>
      <c r="S216" s="24" t="s">
        <v>1595</v>
      </c>
      <c r="W216" s="1720"/>
    </row>
    <row r="217" spans="2:23" ht="15.75">
      <c r="B217" s="1740">
        <v>42194</v>
      </c>
      <c r="C217" s="1056" t="e">
        <f>_xll.BDS($B$116,"CURVE_MEMBERS","CURVE_DATE="&amp;TEXT(B217,"YYYYMMDD"),"headers=yes","dir=h","cols=17;rows=1")</f>
        <v>#N/A</v>
      </c>
      <c r="D217" s="963" t="s">
        <v>1599</v>
      </c>
      <c r="E217" s="1061" t="s">
        <v>1605</v>
      </c>
      <c r="F217" s="1585" t="s">
        <v>1597</v>
      </c>
      <c r="G217" s="1585" t="s">
        <v>1598</v>
      </c>
      <c r="H217" s="1585" t="s">
        <v>1600</v>
      </c>
      <c r="I217" s="1585" t="s">
        <v>1601</v>
      </c>
      <c r="J217" s="1585" t="s">
        <v>1596</v>
      </c>
      <c r="K217" s="1585" t="s">
        <v>1602</v>
      </c>
      <c r="L217" s="1585" t="s">
        <v>1603</v>
      </c>
      <c r="M217" s="1585" t="s">
        <v>1562</v>
      </c>
      <c r="N217" s="1585" t="s">
        <v>1569</v>
      </c>
      <c r="O217" s="1585" t="s">
        <v>1591</v>
      </c>
      <c r="P217" s="1585" t="s">
        <v>1604</v>
      </c>
      <c r="Q217" s="1585" t="s">
        <v>1593</v>
      </c>
      <c r="R217" s="1585" t="s">
        <v>1594</v>
      </c>
      <c r="S217" s="24" t="s">
        <v>1595</v>
      </c>
      <c r="W217" s="1720"/>
    </row>
    <row r="218" spans="2:23" ht="15.75">
      <c r="B218" s="1740">
        <v>42198</v>
      </c>
      <c r="C218" s="1056" t="e">
        <f>_xll.BDS($B$116,"CURVE_MEMBERS","CURVE_DATE="&amp;TEXT(B218,"YYYYMMDD"),"headers=yes","dir=h","cols=17;rows=1")</f>
        <v>#N/A</v>
      </c>
      <c r="D218" s="963" t="s">
        <v>1606</v>
      </c>
      <c r="E218" s="1585" t="s">
        <v>1605</v>
      </c>
      <c r="F218" s="1585" t="s">
        <v>1597</v>
      </c>
      <c r="G218" s="1585" t="s">
        <v>1598</v>
      </c>
      <c r="H218" s="1585" t="s">
        <v>1600</v>
      </c>
      <c r="I218" s="1585" t="s">
        <v>1601</v>
      </c>
      <c r="J218" s="1585" t="s">
        <v>1596</v>
      </c>
      <c r="K218" s="1585" t="s">
        <v>1602</v>
      </c>
      <c r="L218" s="1585" t="s">
        <v>1603</v>
      </c>
      <c r="M218" s="1585" t="s">
        <v>1562</v>
      </c>
      <c r="N218" s="1585" t="s">
        <v>1569</v>
      </c>
      <c r="O218" s="1585" t="s">
        <v>1591</v>
      </c>
      <c r="P218" s="1585" t="s">
        <v>1604</v>
      </c>
      <c r="Q218" s="1585" t="s">
        <v>1593</v>
      </c>
      <c r="R218" s="1585" t="s">
        <v>1594</v>
      </c>
      <c r="S218" s="24" t="s">
        <v>1595</v>
      </c>
      <c r="W218" s="1720"/>
    </row>
    <row r="219" spans="2:23" ht="15.75">
      <c r="B219" s="1740">
        <v>42199</v>
      </c>
      <c r="C219" s="1056" t="e">
        <f>_xll.BDS($B$116,"CURVE_MEMBERS","CURVE_DATE="&amp;TEXT(B219,"YYYYMMDD"),"headers=yes","dir=h","cols=17;rows=1")</f>
        <v>#N/A</v>
      </c>
      <c r="D219" s="963" t="s">
        <v>1606</v>
      </c>
      <c r="E219" s="1585" t="s">
        <v>1605</v>
      </c>
      <c r="F219" s="1585" t="s">
        <v>1597</v>
      </c>
      <c r="G219" s="1585" t="s">
        <v>1598</v>
      </c>
      <c r="H219" s="1585" t="s">
        <v>1600</v>
      </c>
      <c r="I219" s="1585" t="s">
        <v>1601</v>
      </c>
      <c r="J219" s="1585" t="s">
        <v>1596</v>
      </c>
      <c r="K219" s="1585" t="s">
        <v>1602</v>
      </c>
      <c r="L219" s="1585" t="s">
        <v>1603</v>
      </c>
      <c r="M219" s="1585" t="s">
        <v>1562</v>
      </c>
      <c r="N219" s="1585" t="s">
        <v>1569</v>
      </c>
      <c r="O219" s="1585" t="s">
        <v>1591</v>
      </c>
      <c r="P219" s="1585" t="s">
        <v>1604</v>
      </c>
      <c r="Q219" s="1585" t="s">
        <v>1593</v>
      </c>
      <c r="R219" s="1585" t="s">
        <v>1594</v>
      </c>
      <c r="S219" s="24" t="s">
        <v>1595</v>
      </c>
      <c r="W219" s="1720"/>
    </row>
    <row r="220" spans="2:23" ht="15.75">
      <c r="B220" s="1740">
        <v>42200</v>
      </c>
      <c r="C220" s="1056" t="e">
        <f>_xll.BDS($B$116,"CURVE_MEMBERS","CURVE_DATE="&amp;TEXT(B220,"YYYYMMDD"),"headers=yes","dir=h","cols=17;rows=1")</f>
        <v>#N/A</v>
      </c>
      <c r="D220" s="1060" t="s">
        <v>1606</v>
      </c>
      <c r="E220" s="1585" t="s">
        <v>1605</v>
      </c>
      <c r="F220" s="1585" t="s">
        <v>1597</v>
      </c>
      <c r="G220" s="1585" t="s">
        <v>1598</v>
      </c>
      <c r="H220" s="1585" t="s">
        <v>1600</v>
      </c>
      <c r="I220" s="1585" t="s">
        <v>1601</v>
      </c>
      <c r="J220" s="1585" t="s">
        <v>1596</v>
      </c>
      <c r="K220" s="1585" t="s">
        <v>1602</v>
      </c>
      <c r="L220" s="1585" t="s">
        <v>1603</v>
      </c>
      <c r="M220" s="1585" t="s">
        <v>1562</v>
      </c>
      <c r="N220" s="1585" t="s">
        <v>1569</v>
      </c>
      <c r="O220" s="1585" t="s">
        <v>1591</v>
      </c>
      <c r="P220" s="1585" t="s">
        <v>1604</v>
      </c>
      <c r="Q220" s="1585" t="s">
        <v>1593</v>
      </c>
      <c r="R220" s="1585" t="s">
        <v>1594</v>
      </c>
      <c r="S220" s="24" t="s">
        <v>1595</v>
      </c>
      <c r="W220" s="1720"/>
    </row>
    <row r="221" spans="2:23" ht="15.75">
      <c r="B221" s="1740">
        <v>42201</v>
      </c>
      <c r="C221" s="1056" t="e">
        <f>_xll.BDS($B$116,"CURVE_MEMBERS","CURVE_DATE="&amp;TEXT(B221,"YYYYMMDD"),"headers=yes","dir=h","cols=17;rows=1")</f>
        <v>#N/A</v>
      </c>
      <c r="D221" s="963" t="s">
        <v>1606</v>
      </c>
      <c r="E221" s="1585" t="s">
        <v>1605</v>
      </c>
      <c r="F221" s="1585" t="s">
        <v>1597</v>
      </c>
      <c r="G221" s="1585" t="s">
        <v>1598</v>
      </c>
      <c r="H221" s="1585" t="s">
        <v>1600</v>
      </c>
      <c r="I221" s="1585" t="s">
        <v>1601</v>
      </c>
      <c r="J221" s="1585" t="s">
        <v>1596</v>
      </c>
      <c r="K221" s="1585" t="s">
        <v>1602</v>
      </c>
      <c r="L221" s="1585" t="s">
        <v>1603</v>
      </c>
      <c r="M221" s="1585" t="s">
        <v>1562</v>
      </c>
      <c r="N221" s="1585" t="s">
        <v>1569</v>
      </c>
      <c r="O221" s="1585" t="s">
        <v>1591</v>
      </c>
      <c r="P221" s="1585" t="s">
        <v>1604</v>
      </c>
      <c r="Q221" s="1585" t="s">
        <v>1593</v>
      </c>
      <c r="R221" s="1585" t="s">
        <v>1594</v>
      </c>
      <c r="S221" s="24" t="s">
        <v>1595</v>
      </c>
      <c r="W221" s="1720"/>
    </row>
    <row r="222" spans="2:23" ht="15.75">
      <c r="B222" s="1740">
        <v>42202</v>
      </c>
      <c r="C222" s="1056" t="e">
        <f>_xll.BDS($B$116,"CURVE_MEMBERS","CURVE_DATE="&amp;TEXT(B222,"YYYYMMDD"),"headers=yes","dir=h","cols=17;rows=1")</f>
        <v>#N/A</v>
      </c>
      <c r="D222" s="963" t="s">
        <v>1607</v>
      </c>
      <c r="E222" s="1585" t="s">
        <v>1605</v>
      </c>
      <c r="F222" s="1585" t="s">
        <v>1597</v>
      </c>
      <c r="G222" s="1585" t="s">
        <v>1598</v>
      </c>
      <c r="H222" s="1585" t="s">
        <v>1600</v>
      </c>
      <c r="I222" s="1585" t="s">
        <v>1601</v>
      </c>
      <c r="J222" s="1585" t="s">
        <v>1596</v>
      </c>
      <c r="K222" s="1585" t="s">
        <v>1602</v>
      </c>
      <c r="L222" s="1585" t="s">
        <v>1603</v>
      </c>
      <c r="M222" s="1585" t="s">
        <v>1562</v>
      </c>
      <c r="N222" s="1585" t="s">
        <v>1569</v>
      </c>
      <c r="O222" s="1585" t="s">
        <v>1591</v>
      </c>
      <c r="P222" s="1585" t="s">
        <v>1604</v>
      </c>
      <c r="Q222" s="1585" t="s">
        <v>1593</v>
      </c>
      <c r="R222" s="1585" t="s">
        <v>1594</v>
      </c>
      <c r="S222" s="24" t="s">
        <v>1595</v>
      </c>
      <c r="W222" s="1720"/>
    </row>
    <row r="223" spans="2:23" ht="15.75">
      <c r="B223" s="1740">
        <v>42205</v>
      </c>
      <c r="C223" s="1056" t="e">
        <f>_xll.BDS($B$116,"CURVE_MEMBERS","CURVE_DATE="&amp;TEXT(B223,"YYYYMMDD"),"headers=yes","dir=h","cols=17;rows=1")</f>
        <v>#N/A</v>
      </c>
      <c r="D223" s="963" t="s">
        <v>1607</v>
      </c>
      <c r="E223" s="1585" t="s">
        <v>1605</v>
      </c>
      <c r="F223" s="1585" t="s">
        <v>1597</v>
      </c>
      <c r="G223" s="1585" t="s">
        <v>1598</v>
      </c>
      <c r="H223" s="1585" t="s">
        <v>1600</v>
      </c>
      <c r="I223" s="1585" t="s">
        <v>1601</v>
      </c>
      <c r="J223" s="1585" t="s">
        <v>1596</v>
      </c>
      <c r="K223" s="1585" t="s">
        <v>1602</v>
      </c>
      <c r="L223" s="1585" t="s">
        <v>1603</v>
      </c>
      <c r="M223" s="1585" t="s">
        <v>1562</v>
      </c>
      <c r="N223" s="1585" t="s">
        <v>1569</v>
      </c>
      <c r="O223" s="1585" t="s">
        <v>1591</v>
      </c>
      <c r="P223" s="1585" t="s">
        <v>1604</v>
      </c>
      <c r="Q223" s="1585" t="s">
        <v>1593</v>
      </c>
      <c r="R223" s="1585" t="s">
        <v>1594</v>
      </c>
      <c r="S223" s="24" t="s">
        <v>1595</v>
      </c>
      <c r="W223" s="1720"/>
    </row>
    <row r="224" spans="2:23" ht="15.75">
      <c r="B224" s="1740">
        <v>42206</v>
      </c>
      <c r="C224" s="1056" t="e">
        <f>_xll.BDS($B$116,"CURVE_MEMBERS","CURVE_DATE="&amp;TEXT(B224,"YYYYMMDD"),"headers=yes","dir=h","cols=17;rows=1")</f>
        <v>#N/A</v>
      </c>
      <c r="D224" s="963" t="s">
        <v>1607</v>
      </c>
      <c r="E224" s="1585" t="s">
        <v>1605</v>
      </c>
      <c r="F224" s="1585" t="s">
        <v>1597</v>
      </c>
      <c r="G224" s="1585" t="s">
        <v>1598</v>
      </c>
      <c r="H224" s="1585" t="s">
        <v>1600</v>
      </c>
      <c r="I224" s="1585" t="s">
        <v>1601</v>
      </c>
      <c r="J224" s="1585" t="s">
        <v>1596</v>
      </c>
      <c r="K224" s="1585" t="s">
        <v>1602</v>
      </c>
      <c r="L224" s="1585" t="s">
        <v>1603</v>
      </c>
      <c r="M224" s="1585" t="s">
        <v>1562</v>
      </c>
      <c r="N224" s="1585" t="s">
        <v>1569</v>
      </c>
      <c r="O224" s="1585" t="s">
        <v>1591</v>
      </c>
      <c r="P224" s="1585" t="s">
        <v>1604</v>
      </c>
      <c r="Q224" s="1585" t="s">
        <v>1593</v>
      </c>
      <c r="R224" s="1585" t="s">
        <v>1594</v>
      </c>
      <c r="S224" s="24" t="s">
        <v>1595</v>
      </c>
      <c r="W224" s="1720"/>
    </row>
    <row r="225" spans="2:23" ht="15.75">
      <c r="B225" s="1740">
        <v>42207</v>
      </c>
      <c r="C225" s="1056" t="e">
        <f>_xll.BDS($B$116,"CURVE_MEMBERS","CURVE_DATE="&amp;TEXT(B225,"YYYYMMDD"),"headers=yes","dir=h","cols=17;rows=1")</f>
        <v>#N/A</v>
      </c>
      <c r="D225" s="1060" t="s">
        <v>1607</v>
      </c>
      <c r="E225" s="1585" t="s">
        <v>1605</v>
      </c>
      <c r="F225" s="1585" t="s">
        <v>1597</v>
      </c>
      <c r="G225" s="1585" t="s">
        <v>1598</v>
      </c>
      <c r="H225" s="1585" t="s">
        <v>1600</v>
      </c>
      <c r="I225" s="1585" t="s">
        <v>1601</v>
      </c>
      <c r="J225" s="1585" t="s">
        <v>1596</v>
      </c>
      <c r="K225" s="1585" t="s">
        <v>1602</v>
      </c>
      <c r="L225" s="1585" t="s">
        <v>1603</v>
      </c>
      <c r="M225" s="1585" t="s">
        <v>1562</v>
      </c>
      <c r="N225" s="1585" t="s">
        <v>1569</v>
      </c>
      <c r="O225" s="1585" t="s">
        <v>1591</v>
      </c>
      <c r="P225" s="1585" t="s">
        <v>1604</v>
      </c>
      <c r="Q225" s="1585" t="s">
        <v>1593</v>
      </c>
      <c r="R225" s="1585" t="s">
        <v>1594</v>
      </c>
      <c r="S225" s="24" t="s">
        <v>1595</v>
      </c>
      <c r="W225" s="1720"/>
    </row>
    <row r="226" spans="2:23" ht="15.75">
      <c r="B226" s="1740">
        <v>42208</v>
      </c>
      <c r="C226" s="1056" t="e">
        <f>_xll.BDS($B$116,"CURVE_MEMBERS","CURVE_DATE="&amp;TEXT(B226,"YYYYMMDD"),"headers=yes","dir=h","cols=17;rows=1")</f>
        <v>#N/A</v>
      </c>
      <c r="D226" s="963" t="s">
        <v>1607</v>
      </c>
      <c r="E226" s="1585" t="s">
        <v>1605</v>
      </c>
      <c r="F226" s="1585" t="s">
        <v>1597</v>
      </c>
      <c r="G226" s="1585" t="s">
        <v>1598</v>
      </c>
      <c r="H226" s="1585" t="s">
        <v>1600</v>
      </c>
      <c r="I226" s="1585" t="s">
        <v>1601</v>
      </c>
      <c r="J226" s="1585" t="s">
        <v>1596</v>
      </c>
      <c r="K226" s="1585" t="s">
        <v>1602</v>
      </c>
      <c r="L226" s="1585" t="s">
        <v>1603</v>
      </c>
      <c r="M226" s="1585" t="s">
        <v>1562</v>
      </c>
      <c r="N226" s="1585" t="s">
        <v>1569</v>
      </c>
      <c r="O226" s="1585" t="s">
        <v>1591</v>
      </c>
      <c r="P226" s="1585" t="s">
        <v>1604</v>
      </c>
      <c r="Q226" s="1585" t="s">
        <v>1593</v>
      </c>
      <c r="R226" s="1585" t="s">
        <v>1594</v>
      </c>
      <c r="S226" s="24" t="s">
        <v>1595</v>
      </c>
      <c r="W226" s="1720"/>
    </row>
    <row r="227" spans="2:23" ht="15.75">
      <c r="B227" s="1740">
        <v>42209</v>
      </c>
      <c r="C227" s="1056" t="e">
        <f>_xll.BDS($B$116,"CURVE_MEMBERS","CURVE_DATE="&amp;TEXT(B227,"YYYYMMDD"),"headers=yes","dir=h","cols=17;rows=1")</f>
        <v>#N/A</v>
      </c>
      <c r="D227" s="963" t="s">
        <v>1608</v>
      </c>
      <c r="E227" s="1585" t="s">
        <v>1605</v>
      </c>
      <c r="F227" s="1585" t="s">
        <v>1597</v>
      </c>
      <c r="G227" s="1585" t="s">
        <v>1598</v>
      </c>
      <c r="H227" s="1585" t="s">
        <v>1600</v>
      </c>
      <c r="I227" s="1585" t="s">
        <v>1601</v>
      </c>
      <c r="J227" s="1585" t="s">
        <v>1596</v>
      </c>
      <c r="K227" s="1585" t="s">
        <v>1602</v>
      </c>
      <c r="L227" s="1585" t="s">
        <v>1603</v>
      </c>
      <c r="M227" s="1585" t="s">
        <v>1562</v>
      </c>
      <c r="N227" s="1585" t="s">
        <v>1569</v>
      </c>
      <c r="O227" s="1585" t="s">
        <v>1591</v>
      </c>
      <c r="P227" s="1585" t="s">
        <v>1604</v>
      </c>
      <c r="Q227" s="1585" t="s">
        <v>1593</v>
      </c>
      <c r="R227" s="1585" t="s">
        <v>1594</v>
      </c>
      <c r="S227" s="24" t="s">
        <v>1595</v>
      </c>
      <c r="W227" s="1720"/>
    </row>
    <row r="228" spans="2:23" ht="15.75">
      <c r="B228" s="1740">
        <v>42212</v>
      </c>
      <c r="C228" s="1056" t="e">
        <f>_xll.BDS($B$116,"CURVE_MEMBERS","CURVE_DATE="&amp;TEXT(B228,"YYYYMMDD"),"headers=yes","dir=h","cols=17;rows=1")</f>
        <v>#N/A</v>
      </c>
      <c r="D228" s="963" t="s">
        <v>1608</v>
      </c>
      <c r="E228" s="1585" t="s">
        <v>1605</v>
      </c>
      <c r="F228" s="1585" t="s">
        <v>1597</v>
      </c>
      <c r="G228" s="1585" t="s">
        <v>1598</v>
      </c>
      <c r="H228" s="1585" t="s">
        <v>1600</v>
      </c>
      <c r="I228" s="1585" t="s">
        <v>1601</v>
      </c>
      <c r="J228" s="1585" t="s">
        <v>1596</v>
      </c>
      <c r="K228" s="1585" t="s">
        <v>1602</v>
      </c>
      <c r="L228" s="1585" t="s">
        <v>1603</v>
      </c>
      <c r="M228" s="1585" t="s">
        <v>1562</v>
      </c>
      <c r="N228" s="1585" t="s">
        <v>1569</v>
      </c>
      <c r="O228" s="1585" t="s">
        <v>1591</v>
      </c>
      <c r="P228" s="1585" t="s">
        <v>1604</v>
      </c>
      <c r="Q228" s="1585" t="s">
        <v>1593</v>
      </c>
      <c r="R228" s="1585" t="s">
        <v>1594</v>
      </c>
      <c r="S228" s="24" t="s">
        <v>1595</v>
      </c>
    </row>
    <row r="229" spans="2:23" ht="15.75">
      <c r="B229" s="1740">
        <v>42213</v>
      </c>
      <c r="C229" s="1056" t="e">
        <f>_xll.BDS($B$116,"CURVE_MEMBERS","CURVE_DATE="&amp;TEXT(B229,"YYYYMMDD"),"headers=yes","dir=h","cols=17;rows=1")</f>
        <v>#N/A</v>
      </c>
      <c r="D229" s="963" t="s">
        <v>1608</v>
      </c>
      <c r="E229" s="1585" t="s">
        <v>1605</v>
      </c>
      <c r="F229" s="1585" t="s">
        <v>1597</v>
      </c>
      <c r="G229" s="1585" t="s">
        <v>1598</v>
      </c>
      <c r="H229" s="1585" t="s">
        <v>1600</v>
      </c>
      <c r="I229" s="1585" t="s">
        <v>1601</v>
      </c>
      <c r="J229" s="1585" t="s">
        <v>1596</v>
      </c>
      <c r="K229" s="1585" t="s">
        <v>1602</v>
      </c>
      <c r="L229" s="1585" t="s">
        <v>1603</v>
      </c>
      <c r="M229" s="1585" t="s">
        <v>1562</v>
      </c>
      <c r="N229" s="1585" t="s">
        <v>1569</v>
      </c>
      <c r="O229" s="1585" t="s">
        <v>1591</v>
      </c>
      <c r="P229" s="1585" t="s">
        <v>1604</v>
      </c>
      <c r="Q229" s="1585" t="s">
        <v>1593</v>
      </c>
      <c r="R229" s="1585" t="s">
        <v>1594</v>
      </c>
      <c r="S229" s="24" t="s">
        <v>1595</v>
      </c>
    </row>
    <row r="230" spans="2:23" ht="15.75">
      <c r="B230" s="1740">
        <v>42214</v>
      </c>
      <c r="C230" s="1056" t="e">
        <f>_xll.BDS($B$116,"CURVE_MEMBERS","CURVE_DATE="&amp;TEXT(B230,"YYYYMMDD"),"headers=yes","dir=h","cols=17;rows=1")</f>
        <v>#N/A</v>
      </c>
      <c r="D230" s="1060" t="s">
        <v>1608</v>
      </c>
      <c r="E230" s="1585" t="s">
        <v>1605</v>
      </c>
      <c r="F230" s="1061" t="s">
        <v>1568</v>
      </c>
      <c r="G230" s="1061" t="s">
        <v>1609</v>
      </c>
      <c r="H230" s="1585" t="s">
        <v>1600</v>
      </c>
      <c r="I230" s="1585" t="s">
        <v>1601</v>
      </c>
      <c r="J230" s="1585" t="s">
        <v>1596</v>
      </c>
      <c r="K230" s="1585" t="s">
        <v>1602</v>
      </c>
      <c r="L230" s="1585" t="s">
        <v>1603</v>
      </c>
      <c r="M230" s="1585" t="s">
        <v>1562</v>
      </c>
      <c r="N230" s="1585" t="s">
        <v>1569</v>
      </c>
      <c r="O230" s="1585" t="s">
        <v>1591</v>
      </c>
      <c r="P230" s="1585" t="s">
        <v>1604</v>
      </c>
      <c r="Q230" s="1585" t="s">
        <v>1593</v>
      </c>
      <c r="R230" s="1585" t="s">
        <v>1594</v>
      </c>
      <c r="S230" s="24" t="s">
        <v>1595</v>
      </c>
    </row>
    <row r="231" spans="2:23" ht="15.75">
      <c r="B231" s="1740">
        <v>42215</v>
      </c>
      <c r="C231" s="1056" t="e">
        <f>_xll.BDS($B$116,"CURVE_MEMBERS","CURVE_DATE="&amp;TEXT(B231,"YYYYMMDD"),"headers=yes","dir=h","cols=17;rows=1")</f>
        <v>#N/A</v>
      </c>
      <c r="D231" s="963" t="s">
        <v>1608</v>
      </c>
      <c r="E231" s="1585" t="s">
        <v>1605</v>
      </c>
      <c r="F231" s="1585" t="s">
        <v>1568</v>
      </c>
      <c r="G231" s="1585" t="s">
        <v>1609</v>
      </c>
      <c r="H231" s="1585" t="s">
        <v>1600</v>
      </c>
      <c r="I231" s="1585" t="s">
        <v>1601</v>
      </c>
      <c r="J231" s="1585" t="s">
        <v>1596</v>
      </c>
      <c r="K231" s="1585" t="s">
        <v>1602</v>
      </c>
      <c r="L231" s="1585" t="s">
        <v>1603</v>
      </c>
      <c r="M231" s="1585" t="s">
        <v>1562</v>
      </c>
      <c r="N231" s="1585" t="s">
        <v>1569</v>
      </c>
      <c r="O231" s="1585" t="s">
        <v>1591</v>
      </c>
      <c r="P231" s="1585" t="s">
        <v>1604</v>
      </c>
      <c r="Q231" s="1585" t="s">
        <v>1593</v>
      </c>
      <c r="R231" s="1585" t="s">
        <v>1594</v>
      </c>
      <c r="S231" s="24" t="s">
        <v>1595</v>
      </c>
    </row>
    <row r="232" spans="2:23" ht="15.75">
      <c r="B232" s="1740">
        <v>42216</v>
      </c>
      <c r="C232" s="1056" t="e">
        <f>_xll.BDS($B$116,"CURVE_MEMBERS","CURVE_DATE="&amp;TEXT(B232,"YYYYMMDD"),"headers=yes","dir=h","cols=17;rows=1")</f>
        <v>#N/A</v>
      </c>
      <c r="D232" s="963" t="s">
        <v>1700</v>
      </c>
      <c r="E232" s="1585" t="s">
        <v>1605</v>
      </c>
      <c r="F232" s="1585" t="s">
        <v>1568</v>
      </c>
      <c r="G232" s="1585" t="s">
        <v>1609</v>
      </c>
      <c r="H232" s="1585" t="s">
        <v>1600</v>
      </c>
      <c r="I232" s="1585" t="s">
        <v>1601</v>
      </c>
      <c r="J232" s="1585" t="s">
        <v>1596</v>
      </c>
      <c r="K232" s="1585" t="s">
        <v>1602</v>
      </c>
      <c r="L232" s="1585" t="s">
        <v>1603</v>
      </c>
      <c r="M232" s="1585" t="s">
        <v>1562</v>
      </c>
      <c r="N232" s="1585" t="s">
        <v>1569</v>
      </c>
      <c r="O232" s="1585" t="s">
        <v>1591</v>
      </c>
      <c r="P232" s="1585" t="s">
        <v>1604</v>
      </c>
      <c r="Q232" s="1585" t="s">
        <v>1593</v>
      </c>
      <c r="R232" s="1585" t="s">
        <v>1594</v>
      </c>
      <c r="S232" s="24" t="s">
        <v>1595</v>
      </c>
    </row>
    <row r="233" spans="2:23" ht="15.75">
      <c r="B233" s="1740">
        <v>42219</v>
      </c>
      <c r="C233" s="1056" t="e">
        <f>_xll.BDS($B$116,"CURVE_MEMBERS","CURVE_DATE="&amp;TEXT(B233,"YYYYMMDD"),"headers=yes","dir=h","cols=17;rows=1")</f>
        <v>#N/A</v>
      </c>
      <c r="D233" s="963" t="s">
        <v>1700</v>
      </c>
      <c r="E233" s="1585" t="s">
        <v>1605</v>
      </c>
      <c r="F233" s="1585" t="s">
        <v>1568</v>
      </c>
      <c r="G233" s="1585" t="s">
        <v>1609</v>
      </c>
      <c r="H233" s="1585" t="s">
        <v>1600</v>
      </c>
      <c r="I233" s="1585" t="s">
        <v>1601</v>
      </c>
      <c r="J233" s="1585" t="s">
        <v>1596</v>
      </c>
      <c r="K233" s="1585" t="s">
        <v>1602</v>
      </c>
      <c r="L233" s="1585" t="s">
        <v>1603</v>
      </c>
      <c r="M233" s="1585" t="s">
        <v>1562</v>
      </c>
      <c r="N233" s="1585" t="s">
        <v>1569</v>
      </c>
      <c r="O233" s="1585" t="s">
        <v>1591</v>
      </c>
      <c r="P233" s="1585" t="s">
        <v>1604</v>
      </c>
      <c r="Q233" s="1585" t="s">
        <v>1593</v>
      </c>
      <c r="R233" s="1585" t="s">
        <v>1594</v>
      </c>
      <c r="S233" s="24" t="s">
        <v>1595</v>
      </c>
    </row>
    <row r="234" spans="2:23" ht="15.75">
      <c r="B234" s="1740">
        <v>42220</v>
      </c>
      <c r="C234" s="1056" t="e">
        <f>_xll.BDS($B$116,"CURVE_MEMBERS","CURVE_DATE="&amp;TEXT(B234,"YYYYMMDD"),"headers=yes","dir=h","cols=17;rows=1")</f>
        <v>#N/A</v>
      </c>
      <c r="D234" s="963" t="s">
        <v>1700</v>
      </c>
      <c r="E234" s="1585" t="s">
        <v>1605</v>
      </c>
      <c r="F234" s="1585" t="s">
        <v>1568</v>
      </c>
      <c r="G234" s="1585" t="s">
        <v>1609</v>
      </c>
      <c r="H234" s="1585" t="s">
        <v>1600</v>
      </c>
      <c r="I234" s="1585" t="s">
        <v>1601</v>
      </c>
      <c r="J234" s="1585" t="s">
        <v>1596</v>
      </c>
      <c r="K234" s="1585" t="s">
        <v>1602</v>
      </c>
      <c r="L234" s="1585" t="s">
        <v>1603</v>
      </c>
      <c r="M234" s="1585" t="s">
        <v>1562</v>
      </c>
      <c r="N234" s="1585" t="s">
        <v>1569</v>
      </c>
      <c r="O234" s="1585" t="s">
        <v>1591</v>
      </c>
      <c r="P234" s="1585" t="s">
        <v>1604</v>
      </c>
      <c r="Q234" s="1585" t="s">
        <v>1593</v>
      </c>
      <c r="R234" s="1585" t="s">
        <v>1594</v>
      </c>
      <c r="S234" s="24" t="s">
        <v>1595</v>
      </c>
    </row>
    <row r="235" spans="2:23" ht="15.75">
      <c r="B235" s="1740">
        <v>42221</v>
      </c>
      <c r="C235" s="1056" t="e">
        <f>_xll.BDS($B$116,"CURVE_MEMBERS","CURVE_DATE="&amp;TEXT(B235,"YYYYMMDD"),"headers=yes","dir=h","cols=17;rows=1")</f>
        <v>#N/A</v>
      </c>
      <c r="D235" s="1060" t="s">
        <v>1700</v>
      </c>
      <c r="E235" s="1585" t="s">
        <v>1605</v>
      </c>
      <c r="F235" s="1585" t="s">
        <v>1568</v>
      </c>
      <c r="G235" s="1585" t="s">
        <v>1609</v>
      </c>
      <c r="H235" s="1585" t="s">
        <v>1600</v>
      </c>
      <c r="I235" s="1585" t="s">
        <v>1601</v>
      </c>
      <c r="J235" s="1585" t="s">
        <v>1596</v>
      </c>
      <c r="K235" s="1585" t="s">
        <v>1602</v>
      </c>
      <c r="L235" s="1585" t="s">
        <v>1603</v>
      </c>
      <c r="M235" s="1585" t="s">
        <v>1562</v>
      </c>
      <c r="N235" s="1585" t="s">
        <v>1569</v>
      </c>
      <c r="O235" s="1585" t="s">
        <v>1591</v>
      </c>
      <c r="P235" s="1585" t="s">
        <v>1604</v>
      </c>
      <c r="Q235" s="1585" t="s">
        <v>1593</v>
      </c>
      <c r="R235" s="1585" t="s">
        <v>1594</v>
      </c>
      <c r="S235" s="24" t="s">
        <v>1595</v>
      </c>
    </row>
    <row r="236" spans="2:23" ht="15.75">
      <c r="B236" s="1740">
        <v>42222</v>
      </c>
      <c r="C236" s="1056" t="e">
        <f>_xll.BDS($B$116,"CURVE_MEMBERS","CURVE_DATE="&amp;TEXT(B236,"YYYYMMDD"),"headers=yes","dir=h","cols=17;rows=1")</f>
        <v>#N/A</v>
      </c>
      <c r="D236" s="963" t="s">
        <v>1700</v>
      </c>
      <c r="E236" s="1061" t="s">
        <v>1610</v>
      </c>
      <c r="F236" s="1585" t="s">
        <v>1568</v>
      </c>
      <c r="G236" s="1585" t="s">
        <v>1609</v>
      </c>
      <c r="H236" s="1585" t="s">
        <v>1600</v>
      </c>
      <c r="I236" s="1585" t="s">
        <v>1601</v>
      </c>
      <c r="J236" s="1585" t="s">
        <v>1596</v>
      </c>
      <c r="K236" s="1585" t="s">
        <v>1602</v>
      </c>
      <c r="L236" s="1585" t="s">
        <v>1603</v>
      </c>
      <c r="M236" s="1585" t="s">
        <v>1562</v>
      </c>
      <c r="N236" s="1585" t="s">
        <v>1569</v>
      </c>
      <c r="O236" s="1585" t="s">
        <v>1591</v>
      </c>
      <c r="P236" s="1585" t="s">
        <v>1604</v>
      </c>
      <c r="Q236" s="1585" t="s">
        <v>1593</v>
      </c>
      <c r="R236" s="1585" t="s">
        <v>1594</v>
      </c>
      <c r="S236" s="24" t="s">
        <v>1595</v>
      </c>
    </row>
    <row r="237" spans="2:23" ht="15.75">
      <c r="B237" s="1740">
        <v>42223</v>
      </c>
      <c r="C237" s="1056" t="e">
        <f>_xll.BDS($B$116,"CURVE_MEMBERS","CURVE_DATE="&amp;TEXT(B237,"YYYYMMDD"),"headers=yes","dir=h","cols=17;rows=1")</f>
        <v>#N/A</v>
      </c>
      <c r="D237" s="963" t="s">
        <v>1701</v>
      </c>
      <c r="E237" s="1585" t="s">
        <v>1610</v>
      </c>
      <c r="F237" s="1585" t="s">
        <v>1568</v>
      </c>
      <c r="G237" s="1585" t="s">
        <v>1609</v>
      </c>
      <c r="H237" s="1585" t="s">
        <v>1600</v>
      </c>
      <c r="I237" s="1585" t="s">
        <v>1601</v>
      </c>
      <c r="J237" s="1585" t="s">
        <v>1596</v>
      </c>
      <c r="K237" s="1585" t="s">
        <v>1602</v>
      </c>
      <c r="L237" s="1585" t="s">
        <v>1603</v>
      </c>
      <c r="M237" s="1585" t="s">
        <v>1562</v>
      </c>
      <c r="N237" s="1585" t="s">
        <v>1569</v>
      </c>
      <c r="O237" s="1585" t="s">
        <v>1591</v>
      </c>
      <c r="P237" s="1585" t="s">
        <v>1604</v>
      </c>
      <c r="Q237" s="1585" t="s">
        <v>1593</v>
      </c>
      <c r="R237" s="1585" t="s">
        <v>1594</v>
      </c>
      <c r="S237" s="24" t="s">
        <v>1595</v>
      </c>
    </row>
    <row r="238" spans="2:23" ht="15.75">
      <c r="B238" s="1740">
        <v>42226</v>
      </c>
      <c r="C238" s="1056" t="e">
        <f>_xll.BDS($B$116,"CURVE_MEMBERS","CURVE_DATE="&amp;TEXT(B238,"YYYYMMDD"),"headers=yes","dir=h","cols=17;rows=1")</f>
        <v>#N/A</v>
      </c>
      <c r="D238" s="963" t="s">
        <v>1701</v>
      </c>
      <c r="E238" s="1585" t="s">
        <v>1610</v>
      </c>
      <c r="F238" s="1585" t="s">
        <v>1568</v>
      </c>
      <c r="G238" s="1585" t="s">
        <v>1609</v>
      </c>
      <c r="H238" s="1585" t="s">
        <v>1600</v>
      </c>
      <c r="I238" s="1585" t="s">
        <v>1601</v>
      </c>
      <c r="J238" s="1585" t="s">
        <v>1596</v>
      </c>
      <c r="K238" s="1585" t="s">
        <v>1602</v>
      </c>
      <c r="L238" s="1585" t="s">
        <v>1603</v>
      </c>
      <c r="M238" s="1585" t="s">
        <v>1562</v>
      </c>
      <c r="N238" s="1585" t="s">
        <v>1569</v>
      </c>
      <c r="O238" s="1585" t="s">
        <v>1591</v>
      </c>
      <c r="P238" s="1585" t="s">
        <v>1604</v>
      </c>
      <c r="Q238" s="1585" t="s">
        <v>1593</v>
      </c>
      <c r="R238" s="1585" t="s">
        <v>1594</v>
      </c>
      <c r="S238" s="24" t="s">
        <v>1595</v>
      </c>
    </row>
    <row r="239" spans="2:23" ht="15.75">
      <c r="B239" s="1740">
        <v>42227</v>
      </c>
      <c r="C239" s="1056" t="e">
        <f>_xll.BDS($B$116,"CURVE_MEMBERS","CURVE_DATE="&amp;TEXT(B239,"YYYYMMDD"),"headers=yes","dir=h","cols=17;rows=1")</f>
        <v>#N/A</v>
      </c>
      <c r="D239" s="963" t="s">
        <v>1701</v>
      </c>
      <c r="E239" s="1585" t="s">
        <v>1610</v>
      </c>
      <c r="F239" s="1585" t="s">
        <v>1568</v>
      </c>
      <c r="G239" s="1585" t="s">
        <v>1609</v>
      </c>
      <c r="H239" s="1585" t="s">
        <v>1600</v>
      </c>
      <c r="I239" s="1585" t="s">
        <v>1601</v>
      </c>
      <c r="J239" s="1585" t="s">
        <v>1596</v>
      </c>
      <c r="K239" s="1585" t="s">
        <v>1602</v>
      </c>
      <c r="L239" s="1585" t="s">
        <v>1603</v>
      </c>
      <c r="M239" s="1585" t="s">
        <v>1562</v>
      </c>
      <c r="N239" s="1585" t="s">
        <v>1569</v>
      </c>
      <c r="O239" s="1585" t="s">
        <v>1591</v>
      </c>
      <c r="P239" s="1585" t="s">
        <v>1604</v>
      </c>
      <c r="Q239" s="1585" t="s">
        <v>1593</v>
      </c>
      <c r="R239" s="1585" t="s">
        <v>1594</v>
      </c>
      <c r="S239" s="24" t="s">
        <v>1595</v>
      </c>
    </row>
    <row r="240" spans="2:23" ht="15.75">
      <c r="B240" s="1740">
        <v>42228</v>
      </c>
      <c r="C240" s="1056" t="e">
        <f>_xll.BDS($B$116,"CURVE_MEMBERS","CURVE_DATE="&amp;TEXT(B240,"YYYYMMDD"),"headers=yes","dir=h","cols=17;rows=1")</f>
        <v>#N/A</v>
      </c>
      <c r="D240" s="1060" t="s">
        <v>1701</v>
      </c>
      <c r="E240" s="1585" t="s">
        <v>1610</v>
      </c>
      <c r="F240" s="1585" t="s">
        <v>1568</v>
      </c>
      <c r="G240" s="1585" t="s">
        <v>1609</v>
      </c>
      <c r="H240" s="1585" t="s">
        <v>1600</v>
      </c>
      <c r="I240" s="1585" t="s">
        <v>1601</v>
      </c>
      <c r="J240" s="1585" t="s">
        <v>1596</v>
      </c>
      <c r="K240" s="1585" t="s">
        <v>1602</v>
      </c>
      <c r="L240" s="1585" t="s">
        <v>1603</v>
      </c>
      <c r="M240" s="1585" t="s">
        <v>1562</v>
      </c>
      <c r="N240" s="1585" t="s">
        <v>1569</v>
      </c>
      <c r="O240" s="1585" t="s">
        <v>1591</v>
      </c>
      <c r="P240" s="1585" t="s">
        <v>1604</v>
      </c>
      <c r="Q240" s="1585" t="s">
        <v>1593</v>
      </c>
      <c r="R240" s="1585" t="s">
        <v>1594</v>
      </c>
      <c r="S240" s="24" t="s">
        <v>1595</v>
      </c>
    </row>
    <row r="241" spans="2:19" ht="15.75">
      <c r="B241" s="1740">
        <v>42229</v>
      </c>
      <c r="C241" s="1056" t="e">
        <f>_xll.BDS($B$116,"CURVE_MEMBERS","CURVE_DATE="&amp;TEXT(B241,"YYYYMMDD"),"headers=yes","dir=h","cols=17;rows=1")</f>
        <v>#N/A</v>
      </c>
      <c r="D241" s="963" t="s">
        <v>1701</v>
      </c>
      <c r="E241" s="1585" t="s">
        <v>1610</v>
      </c>
      <c r="F241" s="1585" t="s">
        <v>1568</v>
      </c>
      <c r="G241" s="1585" t="s">
        <v>1609</v>
      </c>
      <c r="H241" s="1585" t="s">
        <v>1600</v>
      </c>
      <c r="I241" s="1585" t="s">
        <v>1601</v>
      </c>
      <c r="J241" s="1585" t="s">
        <v>1596</v>
      </c>
      <c r="K241" s="1585" t="s">
        <v>1602</v>
      </c>
      <c r="L241" s="1585" t="s">
        <v>1603</v>
      </c>
      <c r="M241" s="1585" t="s">
        <v>1562</v>
      </c>
      <c r="N241" s="1585" t="s">
        <v>1569</v>
      </c>
      <c r="O241" s="1585" t="s">
        <v>1591</v>
      </c>
      <c r="P241" s="1585" t="s">
        <v>1604</v>
      </c>
      <c r="Q241" s="1585" t="s">
        <v>1593</v>
      </c>
      <c r="R241" s="1585" t="s">
        <v>1594</v>
      </c>
      <c r="S241" s="24" t="s">
        <v>1595</v>
      </c>
    </row>
    <row r="242" spans="2:19" ht="15.75">
      <c r="B242" s="1740">
        <v>42230</v>
      </c>
      <c r="C242" s="1056" t="e">
        <f>_xll.BDS($B$116,"CURVE_MEMBERS","CURVE_DATE="&amp;TEXT(B242,"YYYYMMDD"),"headers=yes","dir=h","cols=17;rows=1")</f>
        <v>#N/A</v>
      </c>
      <c r="D242" s="963" t="s">
        <v>1611</v>
      </c>
      <c r="E242" s="1585" t="s">
        <v>1610</v>
      </c>
      <c r="F242" s="1585" t="s">
        <v>1568</v>
      </c>
      <c r="G242" s="1585" t="s">
        <v>1609</v>
      </c>
      <c r="H242" s="1585" t="s">
        <v>1600</v>
      </c>
      <c r="I242" s="1585" t="s">
        <v>1601</v>
      </c>
      <c r="J242" s="1585" t="s">
        <v>1596</v>
      </c>
      <c r="K242" s="1585" t="s">
        <v>1602</v>
      </c>
      <c r="L242" s="1585" t="s">
        <v>1603</v>
      </c>
      <c r="M242" s="1585" t="s">
        <v>1562</v>
      </c>
      <c r="N242" s="1585" t="s">
        <v>1569</v>
      </c>
      <c r="O242" s="1585" t="s">
        <v>1591</v>
      </c>
      <c r="P242" s="1585" t="s">
        <v>1604</v>
      </c>
      <c r="Q242" s="1585" t="s">
        <v>1593</v>
      </c>
      <c r="R242" s="1585" t="s">
        <v>1594</v>
      </c>
      <c r="S242" s="24" t="s">
        <v>1595</v>
      </c>
    </row>
    <row r="243" spans="2:19" ht="15.75">
      <c r="B243" s="1740">
        <v>42233</v>
      </c>
      <c r="C243" s="1056" t="e">
        <f>_xll.BDS($B$116,"CURVE_MEMBERS","CURVE_DATE="&amp;TEXT(B243,"YYYYMMDD"),"headers=yes","dir=h","cols=17;rows=1")</f>
        <v>#N/A</v>
      </c>
      <c r="D243" s="963" t="s">
        <v>1611</v>
      </c>
      <c r="E243" s="1585" t="s">
        <v>1610</v>
      </c>
      <c r="F243" s="1585" t="s">
        <v>1568</v>
      </c>
      <c r="G243" s="1585" t="s">
        <v>1609</v>
      </c>
      <c r="H243" s="1585" t="s">
        <v>1600</v>
      </c>
      <c r="I243" s="1585" t="s">
        <v>1601</v>
      </c>
      <c r="J243" s="1585" t="s">
        <v>1596</v>
      </c>
      <c r="K243" s="1585" t="s">
        <v>1602</v>
      </c>
      <c r="L243" s="1585" t="s">
        <v>1603</v>
      </c>
      <c r="M243" s="1585" t="s">
        <v>1562</v>
      </c>
      <c r="N243" s="1585" t="s">
        <v>1569</v>
      </c>
      <c r="O243" s="1585" t="s">
        <v>1591</v>
      </c>
      <c r="P243" s="1585" t="s">
        <v>1604</v>
      </c>
      <c r="Q243" s="1585" t="s">
        <v>1593</v>
      </c>
      <c r="R243" s="1585" t="s">
        <v>1594</v>
      </c>
      <c r="S243" s="24" t="s">
        <v>1595</v>
      </c>
    </row>
    <row r="244" spans="2:19" ht="15.75">
      <c r="B244" s="1740">
        <v>42234</v>
      </c>
      <c r="C244" s="1056" t="e">
        <f>_xll.BDS($B$116,"CURVE_MEMBERS","CURVE_DATE="&amp;TEXT(B244,"YYYYMMDD"),"headers=yes","dir=h","cols=17;rows=1")</f>
        <v>#N/A</v>
      </c>
      <c r="D244" s="963" t="s">
        <v>1611</v>
      </c>
      <c r="E244" s="1585" t="s">
        <v>1610</v>
      </c>
      <c r="F244" s="1585" t="s">
        <v>1568</v>
      </c>
      <c r="G244" s="1585" t="s">
        <v>1609</v>
      </c>
      <c r="H244" s="1585" t="s">
        <v>1600</v>
      </c>
      <c r="I244" s="1585" t="s">
        <v>1601</v>
      </c>
      <c r="J244" s="1585" t="s">
        <v>1596</v>
      </c>
      <c r="K244" s="1585" t="s">
        <v>1602</v>
      </c>
      <c r="L244" s="1585" t="s">
        <v>1603</v>
      </c>
      <c r="M244" s="1585" t="s">
        <v>1562</v>
      </c>
      <c r="N244" s="1585" t="s">
        <v>1569</v>
      </c>
      <c r="O244" s="1585" t="s">
        <v>1591</v>
      </c>
      <c r="P244" s="1585" t="s">
        <v>1604</v>
      </c>
      <c r="Q244" s="1585" t="s">
        <v>1593</v>
      </c>
      <c r="R244" s="1585" t="s">
        <v>1594</v>
      </c>
      <c r="S244" s="24" t="s">
        <v>1595</v>
      </c>
    </row>
    <row r="245" spans="2:19" ht="15.75">
      <c r="B245" s="1740">
        <v>42235</v>
      </c>
      <c r="C245" s="1056" t="e">
        <f>_xll.BDS($B$116,"CURVE_MEMBERS","CURVE_DATE="&amp;TEXT(B245,"YYYYMMDD"),"headers=yes","dir=h","cols=17;rows=1")</f>
        <v>#N/A</v>
      </c>
      <c r="D245" s="1060" t="s">
        <v>1611</v>
      </c>
      <c r="E245" s="1585" t="s">
        <v>1610</v>
      </c>
      <c r="F245" s="1585" t="s">
        <v>1568</v>
      </c>
      <c r="G245" s="1585" t="s">
        <v>1609</v>
      </c>
      <c r="H245" s="1585" t="s">
        <v>1600</v>
      </c>
      <c r="I245" s="1585" t="s">
        <v>1601</v>
      </c>
      <c r="J245" s="1585" t="s">
        <v>1596</v>
      </c>
      <c r="K245" s="1585" t="s">
        <v>1602</v>
      </c>
      <c r="L245" s="1585" t="s">
        <v>1603</v>
      </c>
      <c r="M245" s="1585" t="s">
        <v>1562</v>
      </c>
      <c r="N245" s="1585" t="s">
        <v>1569</v>
      </c>
      <c r="O245" s="1585" t="s">
        <v>1591</v>
      </c>
      <c r="P245" s="1585" t="s">
        <v>1604</v>
      </c>
      <c r="Q245" s="1585" t="s">
        <v>1593</v>
      </c>
      <c r="R245" s="1585" t="s">
        <v>1594</v>
      </c>
      <c r="S245" s="24" t="s">
        <v>1595</v>
      </c>
    </row>
    <row r="246" spans="2:19" ht="15.75">
      <c r="B246" s="1740">
        <v>42236</v>
      </c>
      <c r="C246" s="1056" t="e">
        <f>_xll.BDS($B$116,"CURVE_MEMBERS","CURVE_DATE="&amp;TEXT(B246,"YYYYMMDD"),"headers=yes","dir=h","cols=17;rows=1")</f>
        <v>#N/A</v>
      </c>
      <c r="D246" s="963" t="s">
        <v>1611</v>
      </c>
      <c r="E246" s="1585" t="s">
        <v>1610</v>
      </c>
      <c r="F246" s="1585" t="s">
        <v>1568</v>
      </c>
      <c r="G246" s="1585" t="s">
        <v>1609</v>
      </c>
      <c r="H246" s="1585" t="s">
        <v>1600</v>
      </c>
      <c r="I246" s="1585" t="s">
        <v>1601</v>
      </c>
      <c r="J246" s="1585" t="s">
        <v>1596</v>
      </c>
      <c r="K246" s="1585" t="s">
        <v>1602</v>
      </c>
      <c r="L246" s="1585" t="s">
        <v>1603</v>
      </c>
      <c r="M246" s="1585" t="s">
        <v>1562</v>
      </c>
      <c r="N246" s="1585" t="s">
        <v>1569</v>
      </c>
      <c r="O246" s="1585" t="s">
        <v>1591</v>
      </c>
      <c r="P246" s="1585" t="s">
        <v>1604</v>
      </c>
      <c r="Q246" s="1585" t="s">
        <v>1593</v>
      </c>
      <c r="R246" s="1585" t="s">
        <v>1594</v>
      </c>
      <c r="S246" s="24" t="s">
        <v>1595</v>
      </c>
    </row>
    <row r="247" spans="2:19" ht="15.75">
      <c r="B247" s="1740">
        <v>42237</v>
      </c>
      <c r="C247" s="1064" t="e">
        <f>_xll.BDS($B$116,"CURVE_MEMBERS","CURVE_DATE="&amp;TEXT(B247,"YYYYMMDD"),"headers=yes","dir=h","cols=17;rows=1")</f>
        <v>#N/A</v>
      </c>
      <c r="D247" s="703" t="s">
        <v>1612</v>
      </c>
      <c r="E247" s="1588" t="s">
        <v>1610</v>
      </c>
      <c r="F247" s="1588" t="s">
        <v>1568</v>
      </c>
      <c r="G247" s="1588" t="s">
        <v>1609</v>
      </c>
      <c r="H247" s="1588" t="s">
        <v>1600</v>
      </c>
      <c r="I247" s="1588" t="s">
        <v>1601</v>
      </c>
      <c r="J247" s="1588" t="s">
        <v>1596</v>
      </c>
      <c r="K247" s="1588" t="s">
        <v>1602</v>
      </c>
      <c r="L247" s="1588" t="s">
        <v>1603</v>
      </c>
      <c r="M247" s="1588" t="s">
        <v>1562</v>
      </c>
      <c r="N247" s="1588" t="s">
        <v>1569</v>
      </c>
      <c r="O247" s="1588" t="s">
        <v>1591</v>
      </c>
      <c r="P247" s="1588" t="s">
        <v>1604</v>
      </c>
      <c r="Q247" s="1588" t="s">
        <v>1593</v>
      </c>
      <c r="R247" s="1588" t="s">
        <v>1594</v>
      </c>
      <c r="S247" s="395" t="s">
        <v>1595</v>
      </c>
    </row>
    <row r="248" spans="2:19">
      <c r="B248" s="1412"/>
      <c r="C248" s="1412"/>
      <c r="D248" s="1200"/>
      <c r="E248" s="1200"/>
      <c r="F248" s="1200"/>
      <c r="G248" s="1200"/>
      <c r="H248" s="1200"/>
      <c r="I248" s="1200"/>
      <c r="J248" s="1200"/>
      <c r="K248" s="1200"/>
      <c r="L248" s="1200"/>
      <c r="M248" s="1200"/>
      <c r="N248" s="1200"/>
      <c r="O248" s="1200"/>
      <c r="P248" s="1200"/>
      <c r="Q248" s="1200"/>
      <c r="R248" s="1200"/>
      <c r="S248" s="1200"/>
    </row>
    <row r="249" spans="2:19">
      <c r="D249" s="1119" t="s">
        <v>1613</v>
      </c>
      <c r="E249" s="1119"/>
      <c r="F249" s="1119"/>
      <c r="G249" s="1119"/>
      <c r="H249" s="1119"/>
      <c r="I249" s="1119"/>
      <c r="J249" s="1119"/>
      <c r="K249" s="1119"/>
      <c r="L249" s="1119"/>
      <c r="M249" s="1119"/>
      <c r="N249" s="1119"/>
      <c r="O249" s="1119"/>
      <c r="P249" s="1119"/>
      <c r="Q249" s="1119"/>
      <c r="R249" s="1119"/>
      <c r="S249" s="1119"/>
    </row>
    <row r="250" spans="2:19">
      <c r="D250" s="1685" t="s">
        <v>1200</v>
      </c>
      <c r="E250" s="1685" t="s">
        <v>1165</v>
      </c>
      <c r="F250" s="1685" t="s">
        <v>565</v>
      </c>
      <c r="G250" s="1685" t="s">
        <v>1572</v>
      </c>
      <c r="H250" s="1685" t="s">
        <v>1573</v>
      </c>
      <c r="I250" s="1685" t="s">
        <v>1163</v>
      </c>
      <c r="J250" s="1685" t="s">
        <v>1574</v>
      </c>
      <c r="K250" s="1685" t="s">
        <v>1575</v>
      </c>
      <c r="L250" s="1685" t="s">
        <v>1258</v>
      </c>
      <c r="M250" s="1685" t="s">
        <v>1576</v>
      </c>
      <c r="N250" s="1685" t="s">
        <v>1577</v>
      </c>
      <c r="O250" s="1685" t="s">
        <v>1578</v>
      </c>
      <c r="P250" s="1685" t="s">
        <v>1579</v>
      </c>
      <c r="Q250" s="1685" t="s">
        <v>1580</v>
      </c>
      <c r="R250" s="1685" t="s">
        <v>1166</v>
      </c>
      <c r="S250" s="1685" t="s">
        <v>1581</v>
      </c>
    </row>
    <row r="251" spans="2:19">
      <c r="D251" s="1065" t="e">
        <f ca="1">_xll.BDP(D199,"security des")</f>
        <v>#NAME?</v>
      </c>
      <c r="E251" s="1066" t="e">
        <f ca="1">_xll.BDP(E199,"security des")</f>
        <v>#NAME?</v>
      </c>
      <c r="F251" s="1066" t="e">
        <f ca="1">_xll.BDP(F199,"security des")</f>
        <v>#NAME?</v>
      </c>
      <c r="G251" s="1066" t="e">
        <f ca="1">_xll.BDP(G199,"security des")</f>
        <v>#NAME?</v>
      </c>
      <c r="H251" s="1066" t="e">
        <f ca="1">_xll.BDP(H199,"security des")</f>
        <v>#NAME?</v>
      </c>
      <c r="I251" s="1066" t="e">
        <f ca="1">_xll.BDP(I199,"security des")</f>
        <v>#NAME?</v>
      </c>
      <c r="J251" s="1066" t="e">
        <f ca="1">_xll.BDP(J199,"security des")</f>
        <v>#NAME?</v>
      </c>
      <c r="K251" s="1066" t="e">
        <f ca="1">_xll.BDP(K199,"security des")</f>
        <v>#NAME?</v>
      </c>
      <c r="L251" s="1066" t="e">
        <f ca="1">_xll.BDP(L199,"security des")</f>
        <v>#NAME?</v>
      </c>
      <c r="M251" s="1066" t="e">
        <f ca="1">_xll.BDP(M199,"security des")</f>
        <v>#NAME?</v>
      </c>
      <c r="N251" s="1066" t="e">
        <f ca="1">_xll.BDP(N199,"security des")</f>
        <v>#NAME?</v>
      </c>
      <c r="O251" s="1066" t="e">
        <f ca="1">_xll.BDP(O199,"security des")</f>
        <v>#NAME?</v>
      </c>
      <c r="P251" s="1066" t="e">
        <f ca="1">_xll.BDP(P199,"security des")</f>
        <v>#NAME?</v>
      </c>
      <c r="Q251" s="1066" t="e">
        <f ca="1">_xll.BDP(Q199,"security des")</f>
        <v>#NAME?</v>
      </c>
      <c r="R251" s="1066" t="e">
        <f ca="1">_xll.BDP(R199,"security des")</f>
        <v>#NAME?</v>
      </c>
      <c r="S251" s="1067" t="e">
        <f ca="1">_xll.BDP(S199,"security des")</f>
        <v>#NAME?</v>
      </c>
    </row>
    <row r="252" spans="2:19">
      <c r="D252" s="1068" t="e">
        <f ca="1">_xll.BDP(D200,"security des")</f>
        <v>#NAME?</v>
      </c>
      <c r="E252" s="846" t="e">
        <f ca="1">_xll.BDP(E200,"security des")</f>
        <v>#NAME?</v>
      </c>
      <c r="F252" s="846" t="e">
        <f ca="1">_xll.BDP(F200,"security des")</f>
        <v>#NAME?</v>
      </c>
      <c r="G252" s="846" t="e">
        <f ca="1">_xll.BDP(G200,"security des")</f>
        <v>#NAME?</v>
      </c>
      <c r="H252" s="846" t="e">
        <f ca="1">_xll.BDP(H200,"security des")</f>
        <v>#NAME?</v>
      </c>
      <c r="I252" s="846" t="e">
        <f ca="1">_xll.BDP(I200,"security des")</f>
        <v>#NAME?</v>
      </c>
      <c r="J252" s="846" t="e">
        <f ca="1">_xll.BDP(J200,"security des")</f>
        <v>#NAME?</v>
      </c>
      <c r="K252" s="846" t="e">
        <f ca="1">_xll.BDP(K200,"security des")</f>
        <v>#NAME?</v>
      </c>
      <c r="L252" s="846" t="e">
        <f ca="1">_xll.BDP(L200,"security des")</f>
        <v>#NAME?</v>
      </c>
      <c r="M252" s="846" t="e">
        <f ca="1">_xll.BDP(M200,"security des")</f>
        <v>#NAME?</v>
      </c>
      <c r="N252" s="846" t="e">
        <f ca="1">_xll.BDP(N200,"security des")</f>
        <v>#NAME?</v>
      </c>
      <c r="O252" s="846" t="e">
        <f ca="1">_xll.BDP(O200,"security des")</f>
        <v>#NAME?</v>
      </c>
      <c r="P252" s="846" t="e">
        <f ca="1">_xll.BDP(P200,"security des")</f>
        <v>#NAME?</v>
      </c>
      <c r="Q252" s="846" t="e">
        <f ca="1">_xll.BDP(Q200,"security des")</f>
        <v>#NAME?</v>
      </c>
      <c r="R252" s="846" t="e">
        <f ca="1">_xll.BDP(R200,"security des")</f>
        <v>#NAME?</v>
      </c>
      <c r="S252" s="1069" t="e">
        <f ca="1">_xll.BDP(S200,"security des")</f>
        <v>#NAME?</v>
      </c>
    </row>
    <row r="253" spans="2:19">
      <c r="D253" s="1070" t="e">
        <f ca="1">_xll.BDP(D201,"security des")</f>
        <v>#NAME?</v>
      </c>
      <c r="E253" s="846" t="e">
        <f ca="1">_xll.BDP(E201,"security des")</f>
        <v>#NAME?</v>
      </c>
      <c r="F253" s="846" t="e">
        <f ca="1">_xll.BDP(F201,"security des")</f>
        <v>#NAME?</v>
      </c>
      <c r="G253" s="846" t="e">
        <f ca="1">_xll.BDP(G201,"security des")</f>
        <v>#NAME?</v>
      </c>
      <c r="H253" s="846" t="e">
        <f ca="1">_xll.BDP(H201,"security des")</f>
        <v>#NAME?</v>
      </c>
      <c r="I253" s="846" t="e">
        <f ca="1">_xll.BDP(I201,"security des")</f>
        <v>#NAME?</v>
      </c>
      <c r="J253" s="1071" t="e">
        <f ca="1">_xll.BDP(J201,"security des")</f>
        <v>#NAME?</v>
      </c>
      <c r="K253" s="846" t="e">
        <f ca="1">_xll.BDP(K201,"security des")</f>
        <v>#NAME?</v>
      </c>
      <c r="L253" s="846" t="e">
        <f ca="1">_xll.BDP(L201,"security des")</f>
        <v>#NAME?</v>
      </c>
      <c r="M253" s="846" t="e">
        <f ca="1">_xll.BDP(M201,"security des")</f>
        <v>#NAME?</v>
      </c>
      <c r="N253" s="846" t="e">
        <f ca="1">_xll.BDP(N201,"security des")</f>
        <v>#NAME?</v>
      </c>
      <c r="O253" s="846" t="e">
        <f ca="1">_xll.BDP(O201,"security des")</f>
        <v>#NAME?</v>
      </c>
      <c r="P253" s="846" t="e">
        <f ca="1">_xll.BDP(P201,"security des")</f>
        <v>#NAME?</v>
      </c>
      <c r="Q253" s="846" t="e">
        <f ca="1">_xll.BDP(Q201,"security des")</f>
        <v>#NAME?</v>
      </c>
      <c r="R253" s="846" t="e">
        <f ca="1">_xll.BDP(R201,"security des")</f>
        <v>#NAME?</v>
      </c>
      <c r="S253" s="1069" t="e">
        <f ca="1">_xll.BDP(S201,"security des")</f>
        <v>#NAME?</v>
      </c>
    </row>
    <row r="254" spans="2:19">
      <c r="D254" s="1068" t="e">
        <f ca="1">_xll.BDP(D202,"security des")</f>
        <v>#NAME?</v>
      </c>
      <c r="E254" s="846" t="e">
        <f ca="1">_xll.BDP(E202,"security des")</f>
        <v>#NAME?</v>
      </c>
      <c r="F254" s="846" t="e">
        <f ca="1">_xll.BDP(F202,"security des")</f>
        <v>#NAME?</v>
      </c>
      <c r="G254" s="846" t="e">
        <f ca="1">_xll.BDP(G202,"security des")</f>
        <v>#NAME?</v>
      </c>
      <c r="H254" s="846" t="e">
        <f ca="1">_xll.BDP(H202,"security des")</f>
        <v>#NAME?</v>
      </c>
      <c r="I254" s="846" t="e">
        <f ca="1">_xll.BDP(I202,"security des")</f>
        <v>#NAME?</v>
      </c>
      <c r="J254" s="846" t="e">
        <f ca="1">_xll.BDP(J202,"security des")</f>
        <v>#NAME?</v>
      </c>
      <c r="K254" s="846" t="e">
        <f ca="1">_xll.BDP(K202,"security des")</f>
        <v>#NAME?</v>
      </c>
      <c r="L254" s="846" t="e">
        <f ca="1">_xll.BDP(L202,"security des")</f>
        <v>#NAME?</v>
      </c>
      <c r="M254" s="846" t="e">
        <f ca="1">_xll.BDP(M202,"security des")</f>
        <v>#NAME?</v>
      </c>
      <c r="N254" s="846" t="e">
        <f ca="1">_xll.BDP(N202,"security des")</f>
        <v>#NAME?</v>
      </c>
      <c r="O254" s="846" t="e">
        <f ca="1">_xll.BDP(O202,"security des")</f>
        <v>#NAME?</v>
      </c>
      <c r="P254" s="846" t="e">
        <f ca="1">_xll.BDP(P202,"security des")</f>
        <v>#NAME?</v>
      </c>
      <c r="Q254" s="846" t="e">
        <f ca="1">_xll.BDP(Q202,"security des")</f>
        <v>#NAME?</v>
      </c>
      <c r="R254" s="846" t="e">
        <f ca="1">_xll.BDP(R202,"security des")</f>
        <v>#NAME?</v>
      </c>
      <c r="S254" s="1069" t="e">
        <f ca="1">_xll.BDP(S202,"security des")</f>
        <v>#NAME?</v>
      </c>
    </row>
    <row r="255" spans="2:19">
      <c r="D255" s="1068" t="e">
        <f ca="1">_xll.BDP(D203,"security des")</f>
        <v>#NAME?</v>
      </c>
      <c r="E255" s="846" t="e">
        <f ca="1">_xll.BDP(E203,"security des")</f>
        <v>#NAME?</v>
      </c>
      <c r="F255" s="846" t="e">
        <f ca="1">_xll.BDP(F203,"security des")</f>
        <v>#NAME?</v>
      </c>
      <c r="G255" s="846" t="e">
        <f ca="1">_xll.BDP(G203,"security des")</f>
        <v>#NAME?</v>
      </c>
      <c r="H255" s="846" t="e">
        <f ca="1">_xll.BDP(H203,"security des")</f>
        <v>#NAME?</v>
      </c>
      <c r="I255" s="846" t="e">
        <f ca="1">_xll.BDP(I203,"security des")</f>
        <v>#NAME?</v>
      </c>
      <c r="J255" s="846" t="e">
        <f ca="1">_xll.BDP(J203,"security des")</f>
        <v>#NAME?</v>
      </c>
      <c r="K255" s="846" t="e">
        <f ca="1">_xll.BDP(K203,"security des")</f>
        <v>#NAME?</v>
      </c>
      <c r="L255" s="846" t="e">
        <f ca="1">_xll.BDP(L203,"security des")</f>
        <v>#NAME?</v>
      </c>
      <c r="M255" s="846" t="e">
        <f ca="1">_xll.BDP(M203,"security des")</f>
        <v>#NAME?</v>
      </c>
      <c r="N255" s="846" t="e">
        <f ca="1">_xll.BDP(N203,"security des")</f>
        <v>#NAME?</v>
      </c>
      <c r="O255" s="846" t="e">
        <f ca="1">_xll.BDP(O203,"security des")</f>
        <v>#NAME?</v>
      </c>
      <c r="P255" s="846" t="e">
        <f ca="1">_xll.BDP(P203,"security des")</f>
        <v>#NAME?</v>
      </c>
      <c r="Q255" s="846" t="e">
        <f ca="1">_xll.BDP(Q203,"security des")</f>
        <v>#NAME?</v>
      </c>
      <c r="R255" s="846" t="e">
        <f ca="1">_xll.BDP(R203,"security des")</f>
        <v>#NAME?</v>
      </c>
      <c r="S255" s="1069" t="e">
        <f ca="1">_xll.BDP(S203,"security des")</f>
        <v>#NAME?</v>
      </c>
    </row>
    <row r="256" spans="2:19">
      <c r="D256" s="1068" t="e">
        <f ca="1">_xll.BDP(D204,"security des")</f>
        <v>#NAME?</v>
      </c>
      <c r="E256" s="846" t="e">
        <f ca="1">_xll.BDP(E204,"security des")</f>
        <v>#NAME?</v>
      </c>
      <c r="F256" s="846" t="e">
        <f ca="1">_xll.BDP(F204,"security des")</f>
        <v>#NAME?</v>
      </c>
      <c r="G256" s="846" t="e">
        <f ca="1">_xll.BDP(G204,"security des")</f>
        <v>#NAME?</v>
      </c>
      <c r="H256" s="846" t="e">
        <f ca="1">_xll.BDP(H204,"security des")</f>
        <v>#NAME?</v>
      </c>
      <c r="I256" s="846" t="e">
        <f ca="1">_xll.BDP(I204,"security des")</f>
        <v>#NAME?</v>
      </c>
      <c r="J256" s="846" t="e">
        <f ca="1">_xll.BDP(J204,"security des")</f>
        <v>#NAME?</v>
      </c>
      <c r="K256" s="846" t="e">
        <f ca="1">_xll.BDP(K204,"security des")</f>
        <v>#NAME?</v>
      </c>
      <c r="L256" s="846" t="e">
        <f ca="1">_xll.BDP(L204,"security des")</f>
        <v>#NAME?</v>
      </c>
      <c r="M256" s="846" t="e">
        <f ca="1">_xll.BDP(M204,"security des")</f>
        <v>#NAME?</v>
      </c>
      <c r="N256" s="846" t="e">
        <f ca="1">_xll.BDP(N204,"security des")</f>
        <v>#NAME?</v>
      </c>
      <c r="O256" s="846" t="e">
        <f ca="1">_xll.BDP(O204,"security des")</f>
        <v>#NAME?</v>
      </c>
      <c r="P256" s="846" t="e">
        <f ca="1">_xll.BDP(P204,"security des")</f>
        <v>#NAME?</v>
      </c>
      <c r="Q256" s="846" t="e">
        <f ca="1">_xll.BDP(Q204,"security des")</f>
        <v>#NAME?</v>
      </c>
      <c r="R256" s="846" t="e">
        <f ca="1">_xll.BDP(R204,"security des")</f>
        <v>#NAME?</v>
      </c>
      <c r="S256" s="1069" t="e">
        <f ca="1">_xll.BDP(S204,"security des")</f>
        <v>#NAME?</v>
      </c>
    </row>
    <row r="257" spans="4:19">
      <c r="D257" s="1068" t="e">
        <f ca="1">_xll.BDP(D205,"security des")</f>
        <v>#NAME?</v>
      </c>
      <c r="E257" s="846" t="e">
        <f ca="1">_xll.BDP(E205,"security des")</f>
        <v>#NAME?</v>
      </c>
      <c r="F257" s="846" t="e">
        <f ca="1">_xll.BDP(F205,"security des")</f>
        <v>#NAME?</v>
      </c>
      <c r="G257" s="846" t="e">
        <f ca="1">_xll.BDP(G205,"security des")</f>
        <v>#NAME?</v>
      </c>
      <c r="H257" s="846" t="e">
        <f ca="1">_xll.BDP(H205,"security des")</f>
        <v>#NAME?</v>
      </c>
      <c r="I257" s="846" t="e">
        <f ca="1">_xll.BDP(I205,"security des")</f>
        <v>#NAME?</v>
      </c>
      <c r="J257" s="846" t="e">
        <f ca="1">_xll.BDP(J205,"security des")</f>
        <v>#NAME?</v>
      </c>
      <c r="K257" s="846" t="e">
        <f ca="1">_xll.BDP(K205,"security des")</f>
        <v>#NAME?</v>
      </c>
      <c r="L257" s="846" t="e">
        <f ca="1">_xll.BDP(L205,"security des")</f>
        <v>#NAME?</v>
      </c>
      <c r="M257" s="846" t="e">
        <f ca="1">_xll.BDP(M205,"security des")</f>
        <v>#NAME?</v>
      </c>
      <c r="N257" s="846" t="e">
        <f ca="1">_xll.BDP(N205,"security des")</f>
        <v>#NAME?</v>
      </c>
      <c r="O257" s="846" t="e">
        <f ca="1">_xll.BDP(O205,"security des")</f>
        <v>#NAME?</v>
      </c>
      <c r="P257" s="846" t="e">
        <f ca="1">_xll.BDP(P205,"security des")</f>
        <v>#NAME?</v>
      </c>
      <c r="Q257" s="846" t="e">
        <f ca="1">_xll.BDP(Q205,"security des")</f>
        <v>#NAME?</v>
      </c>
      <c r="R257" s="846" t="e">
        <f ca="1">_xll.BDP(R205,"security des")</f>
        <v>#NAME?</v>
      </c>
      <c r="S257" s="1069" t="e">
        <f ca="1">_xll.BDP(S205,"security des")</f>
        <v>#NAME?</v>
      </c>
    </row>
    <row r="258" spans="4:19">
      <c r="D258" s="1070" t="e">
        <f ca="1">_xll.BDP(D206,"security des")</f>
        <v>#NAME?</v>
      </c>
      <c r="E258" s="846" t="e">
        <f ca="1">_xll.BDP(E206,"security des")</f>
        <v>#NAME?</v>
      </c>
      <c r="F258" s="846" t="e">
        <f ca="1">_xll.BDP(F206,"security des")</f>
        <v>#NAME?</v>
      </c>
      <c r="G258" s="846" t="e">
        <f ca="1">_xll.BDP(G206,"security des")</f>
        <v>#NAME?</v>
      </c>
      <c r="H258" s="846" t="e">
        <f ca="1">_xll.BDP(H206,"security des")</f>
        <v>#NAME?</v>
      </c>
      <c r="I258" s="846" t="e">
        <f ca="1">_xll.BDP(I206,"security des")</f>
        <v>#NAME?</v>
      </c>
      <c r="J258" s="846" t="e">
        <f ca="1">_xll.BDP(J206,"security des")</f>
        <v>#NAME?</v>
      </c>
      <c r="K258" s="846" t="e">
        <f ca="1">_xll.BDP(K206,"security des")</f>
        <v>#NAME?</v>
      </c>
      <c r="L258" s="846" t="e">
        <f ca="1">_xll.BDP(L206,"security des")</f>
        <v>#NAME?</v>
      </c>
      <c r="M258" s="846" t="e">
        <f ca="1">_xll.BDP(M206,"security des")</f>
        <v>#NAME?</v>
      </c>
      <c r="N258" s="846" t="e">
        <f ca="1">_xll.BDP(N206,"security des")</f>
        <v>#NAME?</v>
      </c>
      <c r="O258" s="846" t="e">
        <f ca="1">_xll.BDP(O206,"security des")</f>
        <v>#NAME?</v>
      </c>
      <c r="P258" s="846" t="e">
        <f ca="1">_xll.BDP(P206,"security des")</f>
        <v>#NAME?</v>
      </c>
      <c r="Q258" s="846" t="e">
        <f ca="1">_xll.BDP(Q206,"security des")</f>
        <v>#NAME?</v>
      </c>
      <c r="R258" s="846" t="e">
        <f ca="1">_xll.BDP(R206,"security des")</f>
        <v>#NAME?</v>
      </c>
      <c r="S258" s="1069" t="e">
        <f ca="1">_xll.BDP(S206,"security des")</f>
        <v>#NAME?</v>
      </c>
    </row>
    <row r="259" spans="4:19">
      <c r="D259" s="1068" t="e">
        <f ca="1">_xll.BDP(D207,"security des")</f>
        <v>#NAME?</v>
      </c>
      <c r="E259" s="846" t="e">
        <f ca="1">_xll.BDP(E207,"security des")</f>
        <v>#NAME?</v>
      </c>
      <c r="F259" s="846" t="e">
        <f ca="1">_xll.BDP(F207,"security des")</f>
        <v>#NAME?</v>
      </c>
      <c r="G259" s="846" t="e">
        <f ca="1">_xll.BDP(G207,"security des")</f>
        <v>#NAME?</v>
      </c>
      <c r="H259" s="846" t="e">
        <f ca="1">_xll.BDP(H207,"security des")</f>
        <v>#NAME?</v>
      </c>
      <c r="I259" s="846" t="e">
        <f ca="1">_xll.BDP(I207,"security des")</f>
        <v>#NAME?</v>
      </c>
      <c r="J259" s="846" t="e">
        <f ca="1">_xll.BDP(J207,"security des")</f>
        <v>#NAME?</v>
      </c>
      <c r="K259" s="846" t="e">
        <f ca="1">_xll.BDP(K207,"security des")</f>
        <v>#NAME?</v>
      </c>
      <c r="L259" s="846" t="e">
        <f ca="1">_xll.BDP(L207,"security des")</f>
        <v>#NAME?</v>
      </c>
      <c r="M259" s="846" t="e">
        <f ca="1">_xll.BDP(M207,"security des")</f>
        <v>#NAME?</v>
      </c>
      <c r="N259" s="846" t="e">
        <f ca="1">_xll.BDP(N207,"security des")</f>
        <v>#NAME?</v>
      </c>
      <c r="O259" s="846" t="e">
        <f ca="1">_xll.BDP(O207,"security des")</f>
        <v>#NAME?</v>
      </c>
      <c r="P259" s="846" t="e">
        <f ca="1">_xll.BDP(P207,"security des")</f>
        <v>#NAME?</v>
      </c>
      <c r="Q259" s="846" t="e">
        <f ca="1">_xll.BDP(Q207,"security des")</f>
        <v>#NAME?</v>
      </c>
      <c r="R259" s="846" t="e">
        <f ca="1">_xll.BDP(R207,"security des")</f>
        <v>#NAME?</v>
      </c>
      <c r="S259" s="1069" t="e">
        <f ca="1">_xll.BDP(S207,"security des")</f>
        <v>#NAME?</v>
      </c>
    </row>
    <row r="260" spans="4:19">
      <c r="D260" s="1068" t="e">
        <f ca="1">_xll.BDP(D208,"security des")</f>
        <v>#NAME?</v>
      </c>
      <c r="E260" s="846" t="e">
        <f ca="1">_xll.BDP(E208,"security des")</f>
        <v>#NAME?</v>
      </c>
      <c r="F260" s="1072" t="e">
        <f ca="1">_xll.BDP(F208,"security des")</f>
        <v>#NAME?</v>
      </c>
      <c r="G260" s="1072" t="e">
        <f ca="1">_xll.BDP(G208,"security des")</f>
        <v>#NAME?</v>
      </c>
      <c r="H260" s="846" t="e">
        <f ca="1">_xll.BDP(H208,"security des")</f>
        <v>#NAME?</v>
      </c>
      <c r="I260" s="846" t="e">
        <f ca="1">_xll.BDP(I208,"security des")</f>
        <v>#NAME?</v>
      </c>
      <c r="J260" s="846" t="e">
        <f ca="1">_xll.BDP(J208,"security des")</f>
        <v>#NAME?</v>
      </c>
      <c r="K260" s="846" t="e">
        <f ca="1">_xll.BDP(K208,"security des")</f>
        <v>#NAME?</v>
      </c>
      <c r="L260" s="846" t="e">
        <f ca="1">_xll.BDP(L208,"security des")</f>
        <v>#NAME?</v>
      </c>
      <c r="M260" s="846" t="e">
        <f ca="1">_xll.BDP(M208,"security des")</f>
        <v>#NAME?</v>
      </c>
      <c r="N260" s="846" t="e">
        <f ca="1">_xll.BDP(N208,"security des")</f>
        <v>#NAME?</v>
      </c>
      <c r="O260" s="846" t="e">
        <f ca="1">_xll.BDP(O208,"security des")</f>
        <v>#NAME?</v>
      </c>
      <c r="P260" s="846" t="e">
        <f ca="1">_xll.BDP(P208,"security des")</f>
        <v>#NAME?</v>
      </c>
      <c r="Q260" s="846" t="e">
        <f ca="1">_xll.BDP(Q208,"security des")</f>
        <v>#NAME?</v>
      </c>
      <c r="R260" s="846" t="e">
        <f ca="1">_xll.BDP(R208,"security des")</f>
        <v>#NAME?</v>
      </c>
      <c r="S260" s="1069" t="e">
        <f ca="1">_xll.BDP(S208,"security des")</f>
        <v>#NAME?</v>
      </c>
    </row>
    <row r="261" spans="4:19">
      <c r="D261" s="1068" t="e">
        <f ca="1">_xll.BDP(D209,"security des")</f>
        <v>#NAME?</v>
      </c>
      <c r="E261" s="846" t="e">
        <f ca="1">_xll.BDP(E209,"security des")</f>
        <v>#NAME?</v>
      </c>
      <c r="F261" s="846" t="e">
        <f ca="1">_xll.BDP(F209,"security des")</f>
        <v>#NAME?</v>
      </c>
      <c r="G261" s="846" t="e">
        <f ca="1">_xll.BDP(G209,"security des")</f>
        <v>#NAME?</v>
      </c>
      <c r="H261" s="846" t="e">
        <f ca="1">_xll.BDP(H209,"security des")</f>
        <v>#NAME?</v>
      </c>
      <c r="I261" s="846" t="e">
        <f ca="1">_xll.BDP(I209,"security des")</f>
        <v>#NAME?</v>
      </c>
      <c r="J261" s="846" t="e">
        <f ca="1">_xll.BDP(J209,"security des")</f>
        <v>#NAME?</v>
      </c>
      <c r="K261" s="846" t="e">
        <f ca="1">_xll.BDP(K209,"security des")</f>
        <v>#NAME?</v>
      </c>
      <c r="L261" s="846" t="e">
        <f ca="1">_xll.BDP(L209,"security des")</f>
        <v>#NAME?</v>
      </c>
      <c r="M261" s="846" t="e">
        <f ca="1">_xll.BDP(M209,"security des")</f>
        <v>#NAME?</v>
      </c>
      <c r="N261" s="846" t="e">
        <f ca="1">_xll.BDP(N209,"security des")</f>
        <v>#NAME?</v>
      </c>
      <c r="O261" s="846" t="e">
        <f ca="1">_xll.BDP(O209,"security des")</f>
        <v>#NAME?</v>
      </c>
      <c r="P261" s="846" t="e">
        <f ca="1">_xll.BDP(P209,"security des")</f>
        <v>#NAME?</v>
      </c>
      <c r="Q261" s="846" t="e">
        <f ca="1">_xll.BDP(Q209,"security des")</f>
        <v>#NAME?</v>
      </c>
      <c r="R261" s="846" t="e">
        <f ca="1">_xll.BDP(R209,"security des")</f>
        <v>#NAME?</v>
      </c>
      <c r="S261" s="1069" t="e">
        <f ca="1">_xll.BDP(S209,"security des")</f>
        <v>#NAME?</v>
      </c>
    </row>
    <row r="262" spans="4:19">
      <c r="D262" s="1068" t="e">
        <f ca="1">_xll.BDP(D210,"security des")</f>
        <v>#NAME?</v>
      </c>
      <c r="E262" s="846" t="e">
        <f ca="1">_xll.BDP(E210,"security des")</f>
        <v>#NAME?</v>
      </c>
      <c r="F262" s="846" t="e">
        <f ca="1">_xll.BDP(F210,"security des")</f>
        <v>#NAME?</v>
      </c>
      <c r="G262" s="846" t="e">
        <f ca="1">_xll.BDP(G210,"security des")</f>
        <v>#NAME?</v>
      </c>
      <c r="H262" s="846" t="e">
        <f ca="1">_xll.BDP(H210,"security des")</f>
        <v>#NAME?</v>
      </c>
      <c r="I262" s="846" t="e">
        <f ca="1">_xll.BDP(I210,"security des")</f>
        <v>#NAME?</v>
      </c>
      <c r="J262" s="846" t="e">
        <f ca="1">_xll.BDP(J210,"security des")</f>
        <v>#NAME?</v>
      </c>
      <c r="K262" s="846" t="e">
        <f ca="1">_xll.BDP(K210,"security des")</f>
        <v>#NAME?</v>
      </c>
      <c r="L262" s="846" t="e">
        <f ca="1">_xll.BDP(L210,"security des")</f>
        <v>#NAME?</v>
      </c>
      <c r="M262" s="846" t="e">
        <f ca="1">_xll.BDP(M210,"security des")</f>
        <v>#NAME?</v>
      </c>
      <c r="N262" s="846" t="e">
        <f ca="1">_xll.BDP(N210,"security des")</f>
        <v>#NAME?</v>
      </c>
      <c r="O262" s="846" t="e">
        <f ca="1">_xll.BDP(O210,"security des")</f>
        <v>#NAME?</v>
      </c>
      <c r="P262" s="846" t="e">
        <f ca="1">_xll.BDP(P210,"security des")</f>
        <v>#NAME?</v>
      </c>
      <c r="Q262" s="846" t="e">
        <f ca="1">_xll.BDP(Q210,"security des")</f>
        <v>#NAME?</v>
      </c>
      <c r="R262" s="846" t="e">
        <f ca="1">_xll.BDP(R210,"security des")</f>
        <v>#NAME?</v>
      </c>
      <c r="S262" s="1069" t="e">
        <f ca="1">_xll.BDP(S210,"security des")</f>
        <v>#NAME?</v>
      </c>
    </row>
    <row r="263" spans="4:19">
      <c r="D263" s="1070" t="e">
        <f ca="1">_xll.BDP(D211,"security des")</f>
        <v>#NAME?</v>
      </c>
      <c r="E263" s="846" t="e">
        <f ca="1">_xll.BDP(E211,"security des")</f>
        <v>#NAME?</v>
      </c>
      <c r="F263" s="846" t="e">
        <f ca="1">_xll.BDP(F211,"security des")</f>
        <v>#NAME?</v>
      </c>
      <c r="G263" s="846" t="e">
        <f ca="1">_xll.BDP(G211,"security des")</f>
        <v>#NAME?</v>
      </c>
      <c r="H263" s="846" t="e">
        <f ca="1">_xll.BDP(H211,"security des")</f>
        <v>#NAME?</v>
      </c>
      <c r="I263" s="846" t="e">
        <f ca="1">_xll.BDP(I211,"security des")</f>
        <v>#NAME?</v>
      </c>
      <c r="J263" s="846" t="e">
        <f ca="1">_xll.BDP(J211,"security des")</f>
        <v>#NAME?</v>
      </c>
      <c r="K263" s="846" t="e">
        <f ca="1">_xll.BDP(K211,"security des")</f>
        <v>#NAME?</v>
      </c>
      <c r="L263" s="846" t="e">
        <f ca="1">_xll.BDP(L211,"security des")</f>
        <v>#NAME?</v>
      </c>
      <c r="M263" s="846" t="e">
        <f ca="1">_xll.BDP(M211,"security des")</f>
        <v>#NAME?</v>
      </c>
      <c r="N263" s="846" t="e">
        <f ca="1">_xll.BDP(N211,"security des")</f>
        <v>#NAME?</v>
      </c>
      <c r="O263" s="846" t="e">
        <f ca="1">_xll.BDP(O211,"security des")</f>
        <v>#NAME?</v>
      </c>
      <c r="P263" s="846" t="e">
        <f ca="1">_xll.BDP(P211,"security des")</f>
        <v>#NAME?</v>
      </c>
      <c r="Q263" s="846" t="e">
        <f ca="1">_xll.BDP(Q211,"security des")</f>
        <v>#NAME?</v>
      </c>
      <c r="R263" s="846" t="e">
        <f ca="1">_xll.BDP(R211,"security des")</f>
        <v>#NAME?</v>
      </c>
      <c r="S263" s="1069" t="e">
        <f ca="1">_xll.BDP(S211,"security des")</f>
        <v>#NAME?</v>
      </c>
    </row>
    <row r="264" spans="4:19">
      <c r="D264" s="1073" t="e">
        <f ca="1">_xll.BDP(D212,"security des")</f>
        <v>#NAME?</v>
      </c>
      <c r="E264" s="1074" t="e">
        <f ca="1">_xll.BDP(E212,"security des")</f>
        <v>#NAME?</v>
      </c>
      <c r="F264" s="1074" t="e">
        <f ca="1">_xll.BDP(F212,"security des")</f>
        <v>#NAME?</v>
      </c>
      <c r="G264" s="1074" t="e">
        <f ca="1">_xll.BDP(G212,"security des")</f>
        <v>#NAME?</v>
      </c>
      <c r="H264" s="1074" t="e">
        <f ca="1">_xll.BDP(H212,"security des")</f>
        <v>#NAME?</v>
      </c>
      <c r="I264" s="1074" t="e">
        <f ca="1">_xll.BDP(I212,"security des")</f>
        <v>#NAME?</v>
      </c>
      <c r="J264" s="1074" t="e">
        <f ca="1">_xll.BDP(J212,"security des")</f>
        <v>#NAME?</v>
      </c>
      <c r="K264" s="1074" t="e">
        <f ca="1">_xll.BDP(K212,"security des")</f>
        <v>#NAME?</v>
      </c>
      <c r="L264" s="1074" t="e">
        <f ca="1">_xll.BDP(L212,"security des")</f>
        <v>#NAME?</v>
      </c>
      <c r="M264" s="1074" t="e">
        <f ca="1">_xll.BDP(M212,"security des")</f>
        <v>#NAME?</v>
      </c>
      <c r="N264" s="846" t="e">
        <f ca="1">_xll.BDP(N212,"security des")</f>
        <v>#NAME?</v>
      </c>
      <c r="O264" s="846" t="e">
        <f ca="1">_xll.BDP(O212,"security des")</f>
        <v>#NAME?</v>
      </c>
      <c r="P264" s="846" t="e">
        <f ca="1">_xll.BDP(P212,"security des")</f>
        <v>#NAME?</v>
      </c>
      <c r="Q264" s="846" t="e">
        <f ca="1">_xll.BDP(Q212,"security des")</f>
        <v>#NAME?</v>
      </c>
      <c r="R264" s="846" t="e">
        <f ca="1">_xll.BDP(R212,"security des")</f>
        <v>#NAME?</v>
      </c>
      <c r="S264" s="1069" t="e">
        <f ca="1">_xll.BDP(S212,"security des")</f>
        <v>#NAME?</v>
      </c>
    </row>
    <row r="265" spans="4:19">
      <c r="D265" s="1068" t="e">
        <f ca="1">_xll.BDP(D213,"security des")</f>
        <v>#NAME?</v>
      </c>
      <c r="E265" s="846" t="e">
        <f ca="1">_xll.BDP(E213,"security des")</f>
        <v>#NAME?</v>
      </c>
      <c r="F265" s="846" t="e">
        <f ca="1">_xll.BDP(F213,"security des")</f>
        <v>#NAME?</v>
      </c>
      <c r="G265" s="846" t="e">
        <f ca="1">_xll.BDP(G213,"security des")</f>
        <v>#NAME?</v>
      </c>
      <c r="H265" s="846" t="e">
        <f ca="1">_xll.BDP(H213,"security des")</f>
        <v>#NAME?</v>
      </c>
      <c r="I265" s="846" t="e">
        <f ca="1">_xll.BDP(I213,"security des")</f>
        <v>#NAME?</v>
      </c>
      <c r="J265" s="846" t="e">
        <f ca="1">_xll.BDP(J213,"security des")</f>
        <v>#NAME?</v>
      </c>
      <c r="K265" s="846" t="e">
        <f ca="1">_xll.BDP(K213,"security des")</f>
        <v>#NAME?</v>
      </c>
      <c r="L265" s="846" t="e">
        <f ca="1">_xll.BDP(L213,"security des")</f>
        <v>#NAME?</v>
      </c>
      <c r="M265" s="846" t="e">
        <f ca="1">_xll.BDP(M213,"security des")</f>
        <v>#NAME?</v>
      </c>
      <c r="N265" s="846" t="e">
        <f ca="1">_xll.BDP(N213,"security des")</f>
        <v>#NAME?</v>
      </c>
      <c r="O265" s="846" t="e">
        <f ca="1">_xll.BDP(O213,"security des")</f>
        <v>#NAME?</v>
      </c>
      <c r="P265" s="846" t="e">
        <f ca="1">_xll.BDP(P213,"security des")</f>
        <v>#NAME?</v>
      </c>
      <c r="Q265" s="846" t="e">
        <f ca="1">_xll.BDP(Q213,"security des")</f>
        <v>#NAME?</v>
      </c>
      <c r="R265" s="846" t="e">
        <f ca="1">_xll.BDP(R213,"security des")</f>
        <v>#NAME?</v>
      </c>
      <c r="S265" s="1069" t="e">
        <f ca="1">_xll.BDP(S213,"security des")</f>
        <v>#NAME?</v>
      </c>
    </row>
    <row r="266" spans="4:19">
      <c r="D266" s="1068" t="e">
        <f ca="1">_xll.BDP(D214,"security des")</f>
        <v>#NAME?</v>
      </c>
      <c r="E266" s="846" t="e">
        <f ca="1">_xll.BDP(E214,"security des")</f>
        <v>#NAME?</v>
      </c>
      <c r="F266" s="846" t="e">
        <f ca="1">_xll.BDP(F214,"security des")</f>
        <v>#NAME?</v>
      </c>
      <c r="G266" s="846" t="e">
        <f ca="1">_xll.BDP(G214,"security des")</f>
        <v>#NAME?</v>
      </c>
      <c r="H266" s="846" t="e">
        <f ca="1">_xll.BDP(H214,"security des")</f>
        <v>#NAME?</v>
      </c>
      <c r="I266" s="846" t="e">
        <f ca="1">_xll.BDP(I214,"security des")</f>
        <v>#NAME?</v>
      </c>
      <c r="J266" s="846" t="e">
        <f ca="1">_xll.BDP(J214,"security des")</f>
        <v>#NAME?</v>
      </c>
      <c r="K266" s="846" t="e">
        <f ca="1">_xll.BDP(K214,"security des")</f>
        <v>#NAME?</v>
      </c>
      <c r="L266" s="846" t="e">
        <f ca="1">_xll.BDP(L214,"security des")</f>
        <v>#NAME?</v>
      </c>
      <c r="M266" s="846" t="e">
        <f ca="1">_xll.BDP(M214,"security des")</f>
        <v>#NAME?</v>
      </c>
      <c r="N266" s="846" t="e">
        <f ca="1">_xll.BDP(N214,"security des")</f>
        <v>#NAME?</v>
      </c>
      <c r="O266" s="846" t="e">
        <f ca="1">_xll.BDP(O214,"security des")</f>
        <v>#NAME?</v>
      </c>
      <c r="P266" s="846" t="e">
        <f ca="1">_xll.BDP(P214,"security des")</f>
        <v>#NAME?</v>
      </c>
      <c r="Q266" s="846" t="e">
        <f ca="1">_xll.BDP(Q214,"security des")</f>
        <v>#NAME?</v>
      </c>
      <c r="R266" s="846" t="e">
        <f ca="1">_xll.BDP(R214,"security des")</f>
        <v>#NAME?</v>
      </c>
      <c r="S266" s="1069" t="e">
        <f ca="1">_xll.BDP(S214,"security des")</f>
        <v>#NAME?</v>
      </c>
    </row>
    <row r="267" spans="4:19">
      <c r="D267" s="1068" t="e">
        <f ca="1">_xll.BDP(D215,"security des")</f>
        <v>#NAME?</v>
      </c>
      <c r="E267" s="846" t="e">
        <f ca="1">_xll.BDP(E215,"security des")</f>
        <v>#NAME?</v>
      </c>
      <c r="F267" s="846" t="e">
        <f ca="1">_xll.BDP(F215,"security des")</f>
        <v>#NAME?</v>
      </c>
      <c r="G267" s="846" t="e">
        <f ca="1">_xll.BDP(G215,"security des")</f>
        <v>#NAME?</v>
      </c>
      <c r="H267" s="846" t="e">
        <f ca="1">_xll.BDP(H215,"security des")</f>
        <v>#NAME?</v>
      </c>
      <c r="I267" s="846" t="e">
        <f ca="1">_xll.BDP(I215,"security des")</f>
        <v>#NAME?</v>
      </c>
      <c r="J267" s="846" t="e">
        <f ca="1">_xll.BDP(J215,"security des")</f>
        <v>#NAME?</v>
      </c>
      <c r="K267" s="846" t="e">
        <f ca="1">_xll.BDP(K215,"security des")</f>
        <v>#NAME?</v>
      </c>
      <c r="L267" s="846" t="e">
        <f ca="1">_xll.BDP(L215,"security des")</f>
        <v>#NAME?</v>
      </c>
      <c r="M267" s="846" t="e">
        <f ca="1">_xll.BDP(M215,"security des")</f>
        <v>#NAME?</v>
      </c>
      <c r="N267" s="846" t="e">
        <f ca="1">_xll.BDP(N215,"security des")</f>
        <v>#NAME?</v>
      </c>
      <c r="O267" s="846" t="e">
        <f ca="1">_xll.BDP(O215,"security des")</f>
        <v>#NAME?</v>
      </c>
      <c r="P267" s="846" t="e">
        <f ca="1">_xll.BDP(P215,"security des")</f>
        <v>#NAME?</v>
      </c>
      <c r="Q267" s="846" t="e">
        <f ca="1">_xll.BDP(Q215,"security des")</f>
        <v>#NAME?</v>
      </c>
      <c r="R267" s="846" t="e">
        <f ca="1">_xll.BDP(R215,"security des")</f>
        <v>#NAME?</v>
      </c>
      <c r="S267" s="1069" t="e">
        <f ca="1">_xll.BDP(S215,"security des")</f>
        <v>#NAME?</v>
      </c>
    </row>
    <row r="268" spans="4:19">
      <c r="D268" s="1070" t="e">
        <f ca="1">_xll.BDP(D216,"security des")</f>
        <v>#NAME?</v>
      </c>
      <c r="E268" s="846" t="e">
        <f ca="1">_xll.BDP(E216,"security des")</f>
        <v>#NAME?</v>
      </c>
      <c r="F268" s="846" t="e">
        <f ca="1">_xll.BDP(F216,"security des")</f>
        <v>#NAME?</v>
      </c>
      <c r="G268" s="846" t="e">
        <f ca="1">_xll.BDP(G216,"security des")</f>
        <v>#NAME?</v>
      </c>
      <c r="H268" s="846" t="e">
        <f ca="1">_xll.BDP(H216,"security des")</f>
        <v>#NAME?</v>
      </c>
      <c r="I268" s="1072" t="e">
        <f ca="1">_xll.BDP(I216,"security des")</f>
        <v>#NAME?</v>
      </c>
      <c r="J268" s="846" t="e">
        <f ca="1">_xll.BDP(J216,"security des")</f>
        <v>#NAME?</v>
      </c>
      <c r="K268" s="1071" t="e">
        <f ca="1">_xll.BDP(K216,"security des")</f>
        <v>#NAME?</v>
      </c>
      <c r="L268" s="846" t="e">
        <f ca="1">_xll.BDP(L216,"security des")</f>
        <v>#NAME?</v>
      </c>
      <c r="M268" s="1071" t="e">
        <f ca="1">_xll.BDP(M216,"security des")</f>
        <v>#NAME?</v>
      </c>
      <c r="N268" s="1071" t="e">
        <f ca="1">_xll.BDP(N216,"security des")</f>
        <v>#NAME?</v>
      </c>
      <c r="O268" s="846" t="e">
        <f ca="1">_xll.BDP(O216,"security des")</f>
        <v>#NAME?</v>
      </c>
      <c r="P268" s="1071" t="e">
        <f ca="1">_xll.BDP(P216,"security des")</f>
        <v>#NAME?</v>
      </c>
      <c r="Q268" s="846" t="e">
        <f ca="1">_xll.BDP(Q216,"security des")</f>
        <v>#NAME?</v>
      </c>
      <c r="R268" s="846" t="e">
        <f ca="1">_xll.BDP(R216,"security des")</f>
        <v>#NAME?</v>
      </c>
      <c r="S268" s="1069" t="e">
        <f ca="1">_xll.BDP(S216,"security des")</f>
        <v>#NAME?</v>
      </c>
    </row>
    <row r="269" spans="4:19">
      <c r="D269" s="1068" t="e">
        <f ca="1">_xll.BDP(D217,"security des")</f>
        <v>#NAME?</v>
      </c>
      <c r="E269" s="1072" t="e">
        <f ca="1">_xll.BDP(E217,"security des")</f>
        <v>#NAME?</v>
      </c>
      <c r="F269" s="846" t="e">
        <f ca="1">_xll.BDP(F217,"security des")</f>
        <v>#NAME?</v>
      </c>
      <c r="G269" s="846" t="e">
        <f ca="1">_xll.BDP(G217,"security des")</f>
        <v>#NAME?</v>
      </c>
      <c r="H269" s="846" t="e">
        <f ca="1">_xll.BDP(H217,"security des")</f>
        <v>#NAME?</v>
      </c>
      <c r="I269" s="846" t="e">
        <f ca="1">_xll.BDP(I217,"security des")</f>
        <v>#NAME?</v>
      </c>
      <c r="J269" s="846" t="e">
        <f ca="1">_xll.BDP(J217,"security des")</f>
        <v>#NAME?</v>
      </c>
      <c r="K269" s="846" t="e">
        <f ca="1">_xll.BDP(K217,"security des")</f>
        <v>#NAME?</v>
      </c>
      <c r="L269" s="846" t="e">
        <f ca="1">_xll.BDP(L217,"security des")</f>
        <v>#NAME?</v>
      </c>
      <c r="M269" s="846" t="e">
        <f ca="1">_xll.BDP(M217,"security des")</f>
        <v>#NAME?</v>
      </c>
      <c r="N269" s="846" t="e">
        <f ca="1">_xll.BDP(N217,"security des")</f>
        <v>#NAME?</v>
      </c>
      <c r="O269" s="846" t="e">
        <f ca="1">_xll.BDP(O217,"security des")</f>
        <v>#NAME?</v>
      </c>
      <c r="P269" s="846" t="e">
        <f ca="1">_xll.BDP(P217,"security des")</f>
        <v>#NAME?</v>
      </c>
      <c r="Q269" s="846" t="e">
        <f ca="1">_xll.BDP(Q217,"security des")</f>
        <v>#NAME?</v>
      </c>
      <c r="R269" s="846" t="e">
        <f ca="1">_xll.BDP(R217,"security des")</f>
        <v>#NAME?</v>
      </c>
      <c r="S269" s="1069" t="e">
        <f ca="1">_xll.BDP(S217,"security des")</f>
        <v>#NAME?</v>
      </c>
    </row>
    <row r="270" spans="4:19">
      <c r="D270" s="1068" t="e">
        <f ca="1">_xll.BDP(D218,"security des")</f>
        <v>#NAME?</v>
      </c>
      <c r="E270" s="846" t="e">
        <f ca="1">_xll.BDP(E218,"security des")</f>
        <v>#NAME?</v>
      </c>
      <c r="F270" s="846" t="e">
        <f ca="1">_xll.BDP(F218,"security des")</f>
        <v>#NAME?</v>
      </c>
      <c r="G270" s="846" t="e">
        <f ca="1">_xll.BDP(G218,"security des")</f>
        <v>#NAME?</v>
      </c>
      <c r="H270" s="846" t="e">
        <f ca="1">_xll.BDP(H218,"security des")</f>
        <v>#NAME?</v>
      </c>
      <c r="I270" s="846" t="e">
        <f ca="1">_xll.BDP(I218,"security des")</f>
        <v>#NAME?</v>
      </c>
      <c r="J270" s="846" t="e">
        <f ca="1">_xll.BDP(J218,"security des")</f>
        <v>#NAME?</v>
      </c>
      <c r="K270" s="846" t="e">
        <f ca="1">_xll.BDP(K218,"security des")</f>
        <v>#NAME?</v>
      </c>
      <c r="L270" s="846" t="e">
        <f ca="1">_xll.BDP(L218,"security des")</f>
        <v>#NAME?</v>
      </c>
      <c r="M270" s="846" t="e">
        <f ca="1">_xll.BDP(M218,"security des")</f>
        <v>#NAME?</v>
      </c>
      <c r="N270" s="846" t="e">
        <f ca="1">_xll.BDP(N218,"security des")</f>
        <v>#NAME?</v>
      </c>
      <c r="O270" s="846" t="e">
        <f ca="1">_xll.BDP(O218,"security des")</f>
        <v>#NAME?</v>
      </c>
      <c r="P270" s="846" t="e">
        <f ca="1">_xll.BDP(P218,"security des")</f>
        <v>#NAME?</v>
      </c>
      <c r="Q270" s="846" t="e">
        <f ca="1">_xll.BDP(Q218,"security des")</f>
        <v>#NAME?</v>
      </c>
      <c r="R270" s="846" t="e">
        <f ca="1">_xll.BDP(R218,"security des")</f>
        <v>#NAME?</v>
      </c>
      <c r="S270" s="1069" t="e">
        <f ca="1">_xll.BDP(S218,"security des")</f>
        <v>#NAME?</v>
      </c>
    </row>
    <row r="271" spans="4:19">
      <c r="D271" s="1068" t="e">
        <f ca="1">_xll.BDP(D219,"security des")</f>
        <v>#NAME?</v>
      </c>
      <c r="E271" s="846" t="e">
        <f ca="1">_xll.BDP(E219,"security des")</f>
        <v>#NAME?</v>
      </c>
      <c r="F271" s="846" t="e">
        <f ca="1">_xll.BDP(F219,"security des")</f>
        <v>#NAME?</v>
      </c>
      <c r="G271" s="846" t="e">
        <f ca="1">_xll.BDP(G219,"security des")</f>
        <v>#NAME?</v>
      </c>
      <c r="H271" s="846" t="e">
        <f ca="1">_xll.BDP(H219,"security des")</f>
        <v>#NAME?</v>
      </c>
      <c r="I271" s="846" t="e">
        <f ca="1">_xll.BDP(I219,"security des")</f>
        <v>#NAME?</v>
      </c>
      <c r="J271" s="846" t="e">
        <f ca="1">_xll.BDP(J219,"security des")</f>
        <v>#NAME?</v>
      </c>
      <c r="K271" s="846" t="e">
        <f ca="1">_xll.BDP(K219,"security des")</f>
        <v>#NAME?</v>
      </c>
      <c r="L271" s="846" t="e">
        <f ca="1">_xll.BDP(L219,"security des")</f>
        <v>#NAME?</v>
      </c>
      <c r="M271" s="846" t="e">
        <f ca="1">_xll.BDP(M219,"security des")</f>
        <v>#NAME?</v>
      </c>
      <c r="N271" s="846" t="e">
        <f ca="1">_xll.BDP(N219,"security des")</f>
        <v>#NAME?</v>
      </c>
      <c r="O271" s="846" t="e">
        <f ca="1">_xll.BDP(O219,"security des")</f>
        <v>#NAME?</v>
      </c>
      <c r="P271" s="846" t="e">
        <f ca="1">_xll.BDP(P219,"security des")</f>
        <v>#NAME?</v>
      </c>
      <c r="Q271" s="846" t="e">
        <f ca="1">_xll.BDP(Q219,"security des")</f>
        <v>#NAME?</v>
      </c>
      <c r="R271" s="846" t="e">
        <f ca="1">_xll.BDP(R219,"security des")</f>
        <v>#NAME?</v>
      </c>
      <c r="S271" s="1069" t="e">
        <f ca="1">_xll.BDP(S219,"security des")</f>
        <v>#NAME?</v>
      </c>
    </row>
    <row r="272" spans="4:19">
      <c r="D272" s="1070" t="e">
        <f ca="1">_xll.BDP(D220,"security des")</f>
        <v>#NAME?</v>
      </c>
      <c r="E272" s="846" t="e">
        <f ca="1">_xll.BDP(E220,"security des")</f>
        <v>#NAME?</v>
      </c>
      <c r="F272" s="846" t="e">
        <f ca="1">_xll.BDP(F220,"security des")</f>
        <v>#NAME?</v>
      </c>
      <c r="G272" s="846" t="e">
        <f ca="1">_xll.BDP(G220,"security des")</f>
        <v>#NAME?</v>
      </c>
      <c r="H272" s="846" t="e">
        <f ca="1">_xll.BDP(H220,"security des")</f>
        <v>#NAME?</v>
      </c>
      <c r="I272" s="846" t="e">
        <f ca="1">_xll.BDP(I220,"security des")</f>
        <v>#NAME?</v>
      </c>
      <c r="J272" s="846" t="e">
        <f ca="1">_xll.BDP(J220,"security des")</f>
        <v>#NAME?</v>
      </c>
      <c r="K272" s="846" t="e">
        <f ca="1">_xll.BDP(K220,"security des")</f>
        <v>#NAME?</v>
      </c>
      <c r="L272" s="846" t="e">
        <f ca="1">_xll.BDP(L220,"security des")</f>
        <v>#NAME?</v>
      </c>
      <c r="M272" s="846" t="e">
        <f ca="1">_xll.BDP(M220,"security des")</f>
        <v>#NAME?</v>
      </c>
      <c r="N272" s="846" t="e">
        <f ca="1">_xll.BDP(N220,"security des")</f>
        <v>#NAME?</v>
      </c>
      <c r="O272" s="846" t="e">
        <f ca="1">_xll.BDP(O220,"security des")</f>
        <v>#NAME?</v>
      </c>
      <c r="P272" s="846" t="e">
        <f ca="1">_xll.BDP(P220,"security des")</f>
        <v>#NAME?</v>
      </c>
      <c r="Q272" s="846" t="e">
        <f ca="1">_xll.BDP(Q220,"security des")</f>
        <v>#NAME?</v>
      </c>
      <c r="R272" s="846" t="e">
        <f ca="1">_xll.BDP(R220,"security des")</f>
        <v>#NAME?</v>
      </c>
      <c r="S272" s="1069" t="e">
        <f ca="1">_xll.BDP(S220,"security des")</f>
        <v>#NAME?</v>
      </c>
    </row>
    <row r="273" spans="4:19">
      <c r="D273" s="1068" t="e">
        <f ca="1">_xll.BDP(D221,"security des")</f>
        <v>#NAME?</v>
      </c>
      <c r="E273" s="846" t="e">
        <f ca="1">_xll.BDP(E221,"security des")</f>
        <v>#NAME?</v>
      </c>
      <c r="F273" s="846" t="e">
        <f ca="1">_xll.BDP(F221,"security des")</f>
        <v>#NAME?</v>
      </c>
      <c r="G273" s="846" t="e">
        <f ca="1">_xll.BDP(G221,"security des")</f>
        <v>#NAME?</v>
      </c>
      <c r="H273" s="846" t="e">
        <f ca="1">_xll.BDP(H221,"security des")</f>
        <v>#NAME?</v>
      </c>
      <c r="I273" s="846" t="e">
        <f ca="1">_xll.BDP(I221,"security des")</f>
        <v>#NAME?</v>
      </c>
      <c r="J273" s="846" t="e">
        <f ca="1">_xll.BDP(J221,"security des")</f>
        <v>#NAME?</v>
      </c>
      <c r="K273" s="846" t="e">
        <f ca="1">_xll.BDP(K221,"security des")</f>
        <v>#NAME?</v>
      </c>
      <c r="L273" s="846" t="e">
        <f ca="1">_xll.BDP(L221,"security des")</f>
        <v>#NAME?</v>
      </c>
      <c r="M273" s="846" t="e">
        <f ca="1">_xll.BDP(M221,"security des")</f>
        <v>#NAME?</v>
      </c>
      <c r="N273" s="846" t="e">
        <f ca="1">_xll.BDP(N221,"security des")</f>
        <v>#NAME?</v>
      </c>
      <c r="O273" s="846" t="e">
        <f ca="1">_xll.BDP(O221,"security des")</f>
        <v>#NAME?</v>
      </c>
      <c r="P273" s="846" t="e">
        <f ca="1">_xll.BDP(P221,"security des")</f>
        <v>#NAME?</v>
      </c>
      <c r="Q273" s="846" t="e">
        <f ca="1">_xll.BDP(Q221,"security des")</f>
        <v>#NAME?</v>
      </c>
      <c r="R273" s="846" t="e">
        <f ca="1">_xll.BDP(R221,"security des")</f>
        <v>#NAME?</v>
      </c>
      <c r="S273" s="1069" t="e">
        <f ca="1">_xll.BDP(S221,"security des")</f>
        <v>#NAME?</v>
      </c>
    </row>
    <row r="274" spans="4:19">
      <c r="D274" s="1068" t="e">
        <f ca="1">_xll.BDP(D222,"security des")</f>
        <v>#NAME?</v>
      </c>
      <c r="E274" s="846" t="e">
        <f ca="1">_xll.BDP(E222,"security des")</f>
        <v>#NAME?</v>
      </c>
      <c r="F274" s="846" t="e">
        <f ca="1">_xll.BDP(F222,"security des")</f>
        <v>#NAME?</v>
      </c>
      <c r="G274" s="846" t="e">
        <f ca="1">_xll.BDP(G222,"security des")</f>
        <v>#NAME?</v>
      </c>
      <c r="H274" s="846" t="e">
        <f ca="1">_xll.BDP(H222,"security des")</f>
        <v>#NAME?</v>
      </c>
      <c r="I274" s="846" t="e">
        <f ca="1">_xll.BDP(I222,"security des")</f>
        <v>#NAME?</v>
      </c>
      <c r="J274" s="846" t="e">
        <f ca="1">_xll.BDP(J222,"security des")</f>
        <v>#NAME?</v>
      </c>
      <c r="K274" s="846" t="e">
        <f ca="1">_xll.BDP(K222,"security des")</f>
        <v>#NAME?</v>
      </c>
      <c r="L274" s="846" t="e">
        <f ca="1">_xll.BDP(L222,"security des")</f>
        <v>#NAME?</v>
      </c>
      <c r="M274" s="846" t="e">
        <f ca="1">_xll.BDP(M222,"security des")</f>
        <v>#NAME?</v>
      </c>
      <c r="N274" s="846" t="e">
        <f ca="1">_xll.BDP(N222,"security des")</f>
        <v>#NAME?</v>
      </c>
      <c r="O274" s="846" t="e">
        <f ca="1">_xll.BDP(O222,"security des")</f>
        <v>#NAME?</v>
      </c>
      <c r="P274" s="846" t="e">
        <f ca="1">_xll.BDP(P222,"security des")</f>
        <v>#NAME?</v>
      </c>
      <c r="Q274" s="846" t="e">
        <f ca="1">_xll.BDP(Q222,"security des")</f>
        <v>#NAME?</v>
      </c>
      <c r="R274" s="846" t="e">
        <f ca="1">_xll.BDP(R222,"security des")</f>
        <v>#NAME?</v>
      </c>
      <c r="S274" s="1069" t="e">
        <f ca="1">_xll.BDP(S222,"security des")</f>
        <v>#NAME?</v>
      </c>
    </row>
    <row r="275" spans="4:19">
      <c r="D275" s="1068" t="e">
        <f ca="1">_xll.BDP(D223,"security des")</f>
        <v>#NAME?</v>
      </c>
      <c r="E275" s="846" t="e">
        <f ca="1">_xll.BDP(E223,"security des")</f>
        <v>#NAME?</v>
      </c>
      <c r="F275" s="846" t="e">
        <f ca="1">_xll.BDP(F223,"security des")</f>
        <v>#NAME?</v>
      </c>
      <c r="G275" s="846" t="e">
        <f ca="1">_xll.BDP(G223,"security des")</f>
        <v>#NAME?</v>
      </c>
      <c r="H275" s="846" t="e">
        <f ca="1">_xll.BDP(H223,"security des")</f>
        <v>#NAME?</v>
      </c>
      <c r="I275" s="846" t="e">
        <f ca="1">_xll.BDP(I223,"security des")</f>
        <v>#NAME?</v>
      </c>
      <c r="J275" s="846" t="e">
        <f ca="1">_xll.BDP(J223,"security des")</f>
        <v>#NAME?</v>
      </c>
      <c r="K275" s="846" t="e">
        <f ca="1">_xll.BDP(K223,"security des")</f>
        <v>#NAME?</v>
      </c>
      <c r="L275" s="846" t="e">
        <f ca="1">_xll.BDP(L223,"security des")</f>
        <v>#NAME?</v>
      </c>
      <c r="M275" s="846" t="e">
        <f ca="1">_xll.BDP(M223,"security des")</f>
        <v>#NAME?</v>
      </c>
      <c r="N275" s="846" t="e">
        <f ca="1">_xll.BDP(N223,"security des")</f>
        <v>#NAME?</v>
      </c>
      <c r="O275" s="846" t="e">
        <f ca="1">_xll.BDP(O223,"security des")</f>
        <v>#NAME?</v>
      </c>
      <c r="P275" s="846" t="e">
        <f ca="1">_xll.BDP(P223,"security des")</f>
        <v>#NAME?</v>
      </c>
      <c r="Q275" s="846" t="e">
        <f ca="1">_xll.BDP(Q223,"security des")</f>
        <v>#NAME?</v>
      </c>
      <c r="R275" s="846" t="e">
        <f ca="1">_xll.BDP(R223,"security des")</f>
        <v>#NAME?</v>
      </c>
      <c r="S275" s="1069" t="e">
        <f ca="1">_xll.BDP(S223,"security des")</f>
        <v>#NAME?</v>
      </c>
    </row>
    <row r="276" spans="4:19">
      <c r="D276" s="1068" t="e">
        <f ca="1">_xll.BDP(D224,"security des")</f>
        <v>#NAME?</v>
      </c>
      <c r="E276" s="846" t="e">
        <f ca="1">_xll.BDP(E224,"security des")</f>
        <v>#NAME?</v>
      </c>
      <c r="F276" s="846" t="e">
        <f ca="1">_xll.BDP(F224,"security des")</f>
        <v>#NAME?</v>
      </c>
      <c r="G276" s="846" t="e">
        <f ca="1">_xll.BDP(G224,"security des")</f>
        <v>#NAME?</v>
      </c>
      <c r="H276" s="846" t="e">
        <f ca="1">_xll.BDP(H224,"security des")</f>
        <v>#NAME?</v>
      </c>
      <c r="I276" s="846" t="e">
        <f ca="1">_xll.BDP(I224,"security des")</f>
        <v>#NAME?</v>
      </c>
      <c r="J276" s="846" t="e">
        <f ca="1">_xll.BDP(J224,"security des")</f>
        <v>#NAME?</v>
      </c>
      <c r="K276" s="846" t="e">
        <f ca="1">_xll.BDP(K224,"security des")</f>
        <v>#NAME?</v>
      </c>
      <c r="L276" s="846" t="e">
        <f ca="1">_xll.BDP(L224,"security des")</f>
        <v>#NAME?</v>
      </c>
      <c r="M276" s="846" t="e">
        <f ca="1">_xll.BDP(M224,"security des")</f>
        <v>#NAME?</v>
      </c>
      <c r="N276" s="846" t="e">
        <f ca="1">_xll.BDP(N224,"security des")</f>
        <v>#NAME?</v>
      </c>
      <c r="O276" s="846" t="e">
        <f ca="1">_xll.BDP(O224,"security des")</f>
        <v>#NAME?</v>
      </c>
      <c r="P276" s="846" t="e">
        <f ca="1">_xll.BDP(P224,"security des")</f>
        <v>#NAME?</v>
      </c>
      <c r="Q276" s="846" t="e">
        <f ca="1">_xll.BDP(Q224,"security des")</f>
        <v>#NAME?</v>
      </c>
      <c r="R276" s="846" t="e">
        <f ca="1">_xll.BDP(R224,"security des")</f>
        <v>#NAME?</v>
      </c>
      <c r="S276" s="1069" t="e">
        <f ca="1">_xll.BDP(S224,"security des")</f>
        <v>#NAME?</v>
      </c>
    </row>
    <row r="277" spans="4:19">
      <c r="D277" s="1070" t="e">
        <f ca="1">_xll.BDP(D225,"security des")</f>
        <v>#NAME?</v>
      </c>
      <c r="E277" s="846" t="e">
        <f ca="1">_xll.BDP(E225,"security des")</f>
        <v>#NAME?</v>
      </c>
      <c r="F277" s="846" t="e">
        <f ca="1">_xll.BDP(F225,"security des")</f>
        <v>#NAME?</v>
      </c>
      <c r="G277" s="846" t="e">
        <f ca="1">_xll.BDP(G225,"security des")</f>
        <v>#NAME?</v>
      </c>
      <c r="H277" s="846" t="e">
        <f ca="1">_xll.BDP(H225,"security des")</f>
        <v>#NAME?</v>
      </c>
      <c r="I277" s="846" t="e">
        <f ca="1">_xll.BDP(I225,"security des")</f>
        <v>#NAME?</v>
      </c>
      <c r="J277" s="846" t="e">
        <f ca="1">_xll.BDP(J225,"security des")</f>
        <v>#NAME?</v>
      </c>
      <c r="K277" s="846" t="e">
        <f ca="1">_xll.BDP(K225,"security des")</f>
        <v>#NAME?</v>
      </c>
      <c r="L277" s="846" t="e">
        <f ca="1">_xll.BDP(L225,"security des")</f>
        <v>#NAME?</v>
      </c>
      <c r="M277" s="846" t="e">
        <f ca="1">_xll.BDP(M225,"security des")</f>
        <v>#NAME?</v>
      </c>
      <c r="N277" s="846" t="e">
        <f ca="1">_xll.BDP(N225,"security des")</f>
        <v>#NAME?</v>
      </c>
      <c r="O277" s="846" t="e">
        <f ca="1">_xll.BDP(O225,"security des")</f>
        <v>#NAME?</v>
      </c>
      <c r="P277" s="846" t="e">
        <f ca="1">_xll.BDP(P225,"security des")</f>
        <v>#NAME?</v>
      </c>
      <c r="Q277" s="846" t="e">
        <f ca="1">_xll.BDP(Q225,"security des")</f>
        <v>#NAME?</v>
      </c>
      <c r="R277" s="846" t="e">
        <f ca="1">_xll.BDP(R225,"security des")</f>
        <v>#NAME?</v>
      </c>
      <c r="S277" s="1069" t="e">
        <f ca="1">_xll.BDP(S225,"security des")</f>
        <v>#NAME?</v>
      </c>
    </row>
    <row r="278" spans="4:19">
      <c r="D278" s="1068" t="e">
        <f ca="1">_xll.BDP(D226,"security des")</f>
        <v>#NAME?</v>
      </c>
      <c r="E278" s="846" t="e">
        <f ca="1">_xll.BDP(E226,"security des")</f>
        <v>#NAME?</v>
      </c>
      <c r="F278" s="846" t="e">
        <f ca="1">_xll.BDP(F226,"security des")</f>
        <v>#NAME?</v>
      </c>
      <c r="G278" s="846" t="e">
        <f ca="1">_xll.BDP(G226,"security des")</f>
        <v>#NAME?</v>
      </c>
      <c r="H278" s="846" t="e">
        <f ca="1">_xll.BDP(H226,"security des")</f>
        <v>#NAME?</v>
      </c>
      <c r="I278" s="846" t="e">
        <f ca="1">_xll.BDP(I226,"security des")</f>
        <v>#NAME?</v>
      </c>
      <c r="J278" s="846" t="e">
        <f ca="1">_xll.BDP(J226,"security des")</f>
        <v>#NAME?</v>
      </c>
      <c r="K278" s="846" t="e">
        <f ca="1">_xll.BDP(K226,"security des")</f>
        <v>#NAME?</v>
      </c>
      <c r="L278" s="846" t="e">
        <f ca="1">_xll.BDP(L226,"security des")</f>
        <v>#NAME?</v>
      </c>
      <c r="M278" s="846" t="e">
        <f ca="1">_xll.BDP(M226,"security des")</f>
        <v>#NAME?</v>
      </c>
      <c r="N278" s="846" t="e">
        <f ca="1">_xll.BDP(N226,"security des")</f>
        <v>#NAME?</v>
      </c>
      <c r="O278" s="846" t="e">
        <f ca="1">_xll.BDP(O226,"security des")</f>
        <v>#NAME?</v>
      </c>
      <c r="P278" s="846" t="e">
        <f ca="1">_xll.BDP(P226,"security des")</f>
        <v>#NAME?</v>
      </c>
      <c r="Q278" s="846" t="e">
        <f ca="1">_xll.BDP(Q226,"security des")</f>
        <v>#NAME?</v>
      </c>
      <c r="R278" s="846" t="e">
        <f ca="1">_xll.BDP(R226,"security des")</f>
        <v>#NAME?</v>
      </c>
      <c r="S278" s="1069" t="e">
        <f ca="1">_xll.BDP(S226,"security des")</f>
        <v>#NAME?</v>
      </c>
    </row>
    <row r="279" spans="4:19">
      <c r="D279" s="1068" t="e">
        <f ca="1">_xll.BDP(D227,"security des")</f>
        <v>#NAME?</v>
      </c>
      <c r="E279" s="846" t="e">
        <f ca="1">_xll.BDP(E227,"security des")</f>
        <v>#NAME?</v>
      </c>
      <c r="F279" s="846" t="e">
        <f ca="1">_xll.BDP(F227,"security des")</f>
        <v>#NAME?</v>
      </c>
      <c r="G279" s="846" t="e">
        <f ca="1">_xll.BDP(G227,"security des")</f>
        <v>#NAME?</v>
      </c>
      <c r="H279" s="846" t="e">
        <f ca="1">_xll.BDP(H227,"security des")</f>
        <v>#NAME?</v>
      </c>
      <c r="I279" s="846" t="e">
        <f ca="1">_xll.BDP(I227,"security des")</f>
        <v>#NAME?</v>
      </c>
      <c r="J279" s="846" t="e">
        <f ca="1">_xll.BDP(J227,"security des")</f>
        <v>#NAME?</v>
      </c>
      <c r="K279" s="846" t="e">
        <f ca="1">_xll.BDP(K227,"security des")</f>
        <v>#NAME?</v>
      </c>
      <c r="L279" s="846" t="e">
        <f ca="1">_xll.BDP(L227,"security des")</f>
        <v>#NAME?</v>
      </c>
      <c r="M279" s="846" t="e">
        <f ca="1">_xll.BDP(M227,"security des")</f>
        <v>#NAME?</v>
      </c>
      <c r="N279" s="846" t="e">
        <f ca="1">_xll.BDP(N227,"security des")</f>
        <v>#NAME?</v>
      </c>
      <c r="O279" s="846" t="e">
        <f ca="1">_xll.BDP(O227,"security des")</f>
        <v>#NAME?</v>
      </c>
      <c r="P279" s="846" t="e">
        <f ca="1">_xll.BDP(P227,"security des")</f>
        <v>#NAME?</v>
      </c>
      <c r="Q279" s="846" t="e">
        <f ca="1">_xll.BDP(Q227,"security des")</f>
        <v>#NAME?</v>
      </c>
      <c r="R279" s="846" t="e">
        <f ca="1">_xll.BDP(R227,"security des")</f>
        <v>#NAME?</v>
      </c>
      <c r="S279" s="1069" t="e">
        <f ca="1">_xll.BDP(S227,"security des")</f>
        <v>#NAME?</v>
      </c>
    </row>
    <row r="280" spans="4:19">
      <c r="D280" s="1068" t="e">
        <f ca="1">_xll.BDP(D228,"security des")</f>
        <v>#NAME?</v>
      </c>
      <c r="E280" s="846" t="e">
        <f ca="1">_xll.BDP(E228,"security des")</f>
        <v>#NAME?</v>
      </c>
      <c r="F280" s="846" t="e">
        <f ca="1">_xll.BDP(F228,"security des")</f>
        <v>#NAME?</v>
      </c>
      <c r="G280" s="846" t="e">
        <f ca="1">_xll.BDP(G228,"security des")</f>
        <v>#NAME?</v>
      </c>
      <c r="H280" s="846" t="e">
        <f ca="1">_xll.BDP(H228,"security des")</f>
        <v>#NAME?</v>
      </c>
      <c r="I280" s="846" t="e">
        <f ca="1">_xll.BDP(I228,"security des")</f>
        <v>#NAME?</v>
      </c>
      <c r="J280" s="846" t="e">
        <f ca="1">_xll.BDP(J228,"security des")</f>
        <v>#NAME?</v>
      </c>
      <c r="K280" s="846" t="e">
        <f ca="1">_xll.BDP(K228,"security des")</f>
        <v>#NAME?</v>
      </c>
      <c r="L280" s="846" t="e">
        <f ca="1">_xll.BDP(L228,"security des")</f>
        <v>#NAME?</v>
      </c>
      <c r="M280" s="846" t="e">
        <f ca="1">_xll.BDP(M228,"security des")</f>
        <v>#NAME?</v>
      </c>
      <c r="N280" s="846" t="e">
        <f ca="1">_xll.BDP(N228,"security des")</f>
        <v>#NAME?</v>
      </c>
      <c r="O280" s="846" t="e">
        <f ca="1">_xll.BDP(O228,"security des")</f>
        <v>#NAME?</v>
      </c>
      <c r="P280" s="846" t="e">
        <f ca="1">_xll.BDP(P228,"security des")</f>
        <v>#NAME?</v>
      </c>
      <c r="Q280" s="846" t="e">
        <f ca="1">_xll.BDP(Q228,"security des")</f>
        <v>#NAME?</v>
      </c>
      <c r="R280" s="846" t="e">
        <f ca="1">_xll.BDP(R228,"security des")</f>
        <v>#NAME?</v>
      </c>
      <c r="S280" s="1069" t="e">
        <f ca="1">_xll.BDP(S228,"security des")</f>
        <v>#NAME?</v>
      </c>
    </row>
    <row r="281" spans="4:19">
      <c r="D281" s="1068" t="e">
        <f ca="1">_xll.BDP(D229,"security des")</f>
        <v>#NAME?</v>
      </c>
      <c r="E281" s="846" t="e">
        <f ca="1">_xll.BDP(E229,"security des")</f>
        <v>#NAME?</v>
      </c>
      <c r="F281" s="846" t="e">
        <f ca="1">_xll.BDP(F229,"security des")</f>
        <v>#NAME?</v>
      </c>
      <c r="G281" s="846" t="e">
        <f ca="1">_xll.BDP(G229,"security des")</f>
        <v>#NAME?</v>
      </c>
      <c r="H281" s="846" t="e">
        <f ca="1">_xll.BDP(H229,"security des")</f>
        <v>#NAME?</v>
      </c>
      <c r="I281" s="846" t="e">
        <f ca="1">_xll.BDP(I229,"security des")</f>
        <v>#NAME?</v>
      </c>
      <c r="J281" s="846" t="e">
        <f ca="1">_xll.BDP(J229,"security des")</f>
        <v>#NAME?</v>
      </c>
      <c r="K281" s="846" t="e">
        <f ca="1">_xll.BDP(K229,"security des")</f>
        <v>#NAME?</v>
      </c>
      <c r="L281" s="846" t="e">
        <f ca="1">_xll.BDP(L229,"security des")</f>
        <v>#NAME?</v>
      </c>
      <c r="M281" s="846" t="e">
        <f ca="1">_xll.BDP(M229,"security des")</f>
        <v>#NAME?</v>
      </c>
      <c r="N281" s="846" t="e">
        <f ca="1">_xll.BDP(N229,"security des")</f>
        <v>#NAME?</v>
      </c>
      <c r="O281" s="846" t="e">
        <f ca="1">_xll.BDP(O229,"security des")</f>
        <v>#NAME?</v>
      </c>
      <c r="P281" s="846" t="e">
        <f ca="1">_xll.BDP(P229,"security des")</f>
        <v>#NAME?</v>
      </c>
      <c r="Q281" s="846" t="e">
        <f ca="1">_xll.BDP(Q229,"security des")</f>
        <v>#NAME?</v>
      </c>
      <c r="R281" s="846" t="e">
        <f ca="1">_xll.BDP(R229,"security des")</f>
        <v>#NAME?</v>
      </c>
      <c r="S281" s="1069" t="e">
        <f ca="1">_xll.BDP(S229,"security des")</f>
        <v>#NAME?</v>
      </c>
    </row>
    <row r="282" spans="4:19">
      <c r="D282" s="1070" t="e">
        <f ca="1">_xll.BDP(D230,"security des")</f>
        <v>#NAME?</v>
      </c>
      <c r="E282" s="846" t="e">
        <f ca="1">_xll.BDP(E230,"security des")</f>
        <v>#NAME?</v>
      </c>
      <c r="F282" s="1072" t="e">
        <f ca="1">_xll.BDP(F230,"security des")</f>
        <v>#NAME?</v>
      </c>
      <c r="G282" s="1072" t="e">
        <f ca="1">_xll.BDP(G230,"security des")</f>
        <v>#NAME?</v>
      </c>
      <c r="H282" s="846" t="e">
        <f ca="1">_xll.BDP(H230,"security des")</f>
        <v>#NAME?</v>
      </c>
      <c r="I282" s="846" t="e">
        <f ca="1">_xll.BDP(I230,"security des")</f>
        <v>#NAME?</v>
      </c>
      <c r="J282" s="846" t="e">
        <f ca="1">_xll.BDP(J230,"security des")</f>
        <v>#NAME?</v>
      </c>
      <c r="K282" s="846" t="e">
        <f ca="1">_xll.BDP(K230,"security des")</f>
        <v>#NAME?</v>
      </c>
      <c r="L282" s="846" t="e">
        <f ca="1">_xll.BDP(L230,"security des")</f>
        <v>#NAME?</v>
      </c>
      <c r="M282" s="846" t="e">
        <f ca="1">_xll.BDP(M230,"security des")</f>
        <v>#NAME?</v>
      </c>
      <c r="N282" s="846" t="e">
        <f ca="1">_xll.BDP(N230,"security des")</f>
        <v>#NAME?</v>
      </c>
      <c r="O282" s="846" t="e">
        <f ca="1">_xll.BDP(O230,"security des")</f>
        <v>#NAME?</v>
      </c>
      <c r="P282" s="846" t="e">
        <f ca="1">_xll.BDP(P230,"security des")</f>
        <v>#NAME?</v>
      </c>
      <c r="Q282" s="846" t="e">
        <f ca="1">_xll.BDP(Q230,"security des")</f>
        <v>#NAME?</v>
      </c>
      <c r="R282" s="846" t="e">
        <f ca="1">_xll.BDP(R230,"security des")</f>
        <v>#NAME?</v>
      </c>
      <c r="S282" s="1069" t="e">
        <f ca="1">_xll.BDP(S230,"security des")</f>
        <v>#NAME?</v>
      </c>
    </row>
    <row r="283" spans="4:19">
      <c r="D283" s="1068" t="e">
        <f ca="1">_xll.BDP(D231,"security des")</f>
        <v>#NAME?</v>
      </c>
      <c r="E283" s="846" t="e">
        <f ca="1">_xll.BDP(E231,"security des")</f>
        <v>#NAME?</v>
      </c>
      <c r="F283" s="846" t="e">
        <f ca="1">_xll.BDP(F231,"security des")</f>
        <v>#NAME?</v>
      </c>
      <c r="G283" s="846" t="e">
        <f ca="1">_xll.BDP(G231,"security des")</f>
        <v>#NAME?</v>
      </c>
      <c r="H283" s="846" t="e">
        <f ca="1">_xll.BDP(H231,"security des")</f>
        <v>#NAME?</v>
      </c>
      <c r="I283" s="846" t="e">
        <f ca="1">_xll.BDP(I231,"security des")</f>
        <v>#NAME?</v>
      </c>
      <c r="J283" s="846" t="e">
        <f ca="1">_xll.BDP(J231,"security des")</f>
        <v>#NAME?</v>
      </c>
      <c r="K283" s="846" t="e">
        <f ca="1">_xll.BDP(K231,"security des")</f>
        <v>#NAME?</v>
      </c>
      <c r="L283" s="846" t="e">
        <f ca="1">_xll.BDP(L231,"security des")</f>
        <v>#NAME?</v>
      </c>
      <c r="M283" s="846" t="e">
        <f ca="1">_xll.BDP(M231,"security des")</f>
        <v>#NAME?</v>
      </c>
      <c r="N283" s="846" t="e">
        <f ca="1">_xll.BDP(N231,"security des")</f>
        <v>#NAME?</v>
      </c>
      <c r="O283" s="846" t="e">
        <f ca="1">_xll.BDP(O231,"security des")</f>
        <v>#NAME?</v>
      </c>
      <c r="P283" s="846" t="e">
        <f ca="1">_xll.BDP(P231,"security des")</f>
        <v>#NAME?</v>
      </c>
      <c r="Q283" s="846" t="e">
        <f ca="1">_xll.BDP(Q231,"security des")</f>
        <v>#NAME?</v>
      </c>
      <c r="R283" s="846" t="e">
        <f ca="1">_xll.BDP(R231,"security des")</f>
        <v>#NAME?</v>
      </c>
      <c r="S283" s="1069" t="e">
        <f ca="1">_xll.BDP(S231,"security des")</f>
        <v>#NAME?</v>
      </c>
    </row>
    <row r="284" spans="4:19">
      <c r="D284" s="1068" t="e">
        <f ca="1">_xll.BDP(D232,"security des")</f>
        <v>#NAME?</v>
      </c>
      <c r="E284" s="846" t="e">
        <f ca="1">_xll.BDP(E232,"security des")</f>
        <v>#NAME?</v>
      </c>
      <c r="F284" s="846" t="e">
        <f ca="1">_xll.BDP(F232,"security des")</f>
        <v>#NAME?</v>
      </c>
      <c r="G284" s="846" t="e">
        <f ca="1">_xll.BDP(G232,"security des")</f>
        <v>#NAME?</v>
      </c>
      <c r="H284" s="846" t="e">
        <f ca="1">_xll.BDP(H232,"security des")</f>
        <v>#NAME?</v>
      </c>
      <c r="I284" s="846" t="e">
        <f ca="1">_xll.BDP(I232,"security des")</f>
        <v>#NAME?</v>
      </c>
      <c r="J284" s="846" t="e">
        <f ca="1">_xll.BDP(J232,"security des")</f>
        <v>#NAME?</v>
      </c>
      <c r="K284" s="846" t="e">
        <f ca="1">_xll.BDP(K232,"security des")</f>
        <v>#NAME?</v>
      </c>
      <c r="L284" s="846" t="e">
        <f ca="1">_xll.BDP(L232,"security des")</f>
        <v>#NAME?</v>
      </c>
      <c r="M284" s="846" t="e">
        <f ca="1">_xll.BDP(M232,"security des")</f>
        <v>#NAME?</v>
      </c>
      <c r="N284" s="846" t="e">
        <f ca="1">_xll.BDP(N232,"security des")</f>
        <v>#NAME?</v>
      </c>
      <c r="O284" s="846" t="e">
        <f ca="1">_xll.BDP(O232,"security des")</f>
        <v>#NAME?</v>
      </c>
      <c r="P284" s="846" t="e">
        <f ca="1">_xll.BDP(P232,"security des")</f>
        <v>#NAME?</v>
      </c>
      <c r="Q284" s="846" t="e">
        <f ca="1">_xll.BDP(Q232,"security des")</f>
        <v>#NAME?</v>
      </c>
      <c r="R284" s="846" t="e">
        <f ca="1">_xll.BDP(R232,"security des")</f>
        <v>#NAME?</v>
      </c>
      <c r="S284" s="1069" t="e">
        <f ca="1">_xll.BDP(S232,"security des")</f>
        <v>#NAME?</v>
      </c>
    </row>
    <row r="285" spans="4:19">
      <c r="D285" s="1068" t="e">
        <f ca="1">_xll.BDP(D233,"security des")</f>
        <v>#NAME?</v>
      </c>
      <c r="E285" s="846" t="e">
        <f ca="1">_xll.BDP(E233,"security des")</f>
        <v>#NAME?</v>
      </c>
      <c r="F285" s="846" t="e">
        <f ca="1">_xll.BDP(F233,"security des")</f>
        <v>#NAME?</v>
      </c>
      <c r="G285" s="846" t="e">
        <f ca="1">_xll.BDP(G233,"security des")</f>
        <v>#NAME?</v>
      </c>
      <c r="H285" s="846" t="e">
        <f ca="1">_xll.BDP(H233,"security des")</f>
        <v>#NAME?</v>
      </c>
      <c r="I285" s="846" t="e">
        <f ca="1">_xll.BDP(I233,"security des")</f>
        <v>#NAME?</v>
      </c>
      <c r="J285" s="846" t="e">
        <f ca="1">_xll.BDP(J233,"security des")</f>
        <v>#NAME?</v>
      </c>
      <c r="K285" s="846" t="e">
        <f ca="1">_xll.BDP(K233,"security des")</f>
        <v>#NAME?</v>
      </c>
      <c r="L285" s="846" t="e">
        <f ca="1">_xll.BDP(L233,"security des")</f>
        <v>#NAME?</v>
      </c>
      <c r="M285" s="846" t="e">
        <f ca="1">_xll.BDP(M233,"security des")</f>
        <v>#NAME?</v>
      </c>
      <c r="N285" s="846" t="e">
        <f ca="1">_xll.BDP(N233,"security des")</f>
        <v>#NAME?</v>
      </c>
      <c r="O285" s="846" t="e">
        <f ca="1">_xll.BDP(O233,"security des")</f>
        <v>#NAME?</v>
      </c>
      <c r="P285" s="846" t="e">
        <f ca="1">_xll.BDP(P233,"security des")</f>
        <v>#NAME?</v>
      </c>
      <c r="Q285" s="846" t="e">
        <f ca="1">_xll.BDP(Q233,"security des")</f>
        <v>#NAME?</v>
      </c>
      <c r="R285" s="846" t="e">
        <f ca="1">_xll.BDP(R233,"security des")</f>
        <v>#NAME?</v>
      </c>
      <c r="S285" s="1069" t="e">
        <f ca="1">_xll.BDP(S233,"security des")</f>
        <v>#NAME?</v>
      </c>
    </row>
    <row r="286" spans="4:19">
      <c r="D286" s="1068" t="e">
        <f ca="1">_xll.BDP(D234,"security des")</f>
        <v>#NAME?</v>
      </c>
      <c r="E286" s="846" t="e">
        <f ca="1">_xll.BDP(E234,"security des")</f>
        <v>#NAME?</v>
      </c>
      <c r="F286" s="846" t="e">
        <f ca="1">_xll.BDP(F234,"security des")</f>
        <v>#NAME?</v>
      </c>
      <c r="G286" s="846" t="e">
        <f ca="1">_xll.BDP(G234,"security des")</f>
        <v>#NAME?</v>
      </c>
      <c r="H286" s="846" t="e">
        <f ca="1">_xll.BDP(H234,"security des")</f>
        <v>#NAME?</v>
      </c>
      <c r="I286" s="846" t="e">
        <f ca="1">_xll.BDP(I234,"security des")</f>
        <v>#NAME?</v>
      </c>
      <c r="J286" s="846" t="e">
        <f ca="1">_xll.BDP(J234,"security des")</f>
        <v>#NAME?</v>
      </c>
      <c r="K286" s="846" t="e">
        <f ca="1">_xll.BDP(K234,"security des")</f>
        <v>#NAME?</v>
      </c>
      <c r="L286" s="846" t="e">
        <f ca="1">_xll.BDP(L234,"security des")</f>
        <v>#NAME?</v>
      </c>
      <c r="M286" s="846" t="e">
        <f ca="1">_xll.BDP(M234,"security des")</f>
        <v>#NAME?</v>
      </c>
      <c r="N286" s="846" t="e">
        <f ca="1">_xll.BDP(N234,"security des")</f>
        <v>#NAME?</v>
      </c>
      <c r="O286" s="846" t="e">
        <f ca="1">_xll.BDP(O234,"security des")</f>
        <v>#NAME?</v>
      </c>
      <c r="P286" s="846" t="e">
        <f ca="1">_xll.BDP(P234,"security des")</f>
        <v>#NAME?</v>
      </c>
      <c r="Q286" s="846" t="e">
        <f ca="1">_xll.BDP(Q234,"security des")</f>
        <v>#NAME?</v>
      </c>
      <c r="R286" s="846" t="e">
        <f ca="1">_xll.BDP(R234,"security des")</f>
        <v>#NAME?</v>
      </c>
      <c r="S286" s="1069" t="e">
        <f ca="1">_xll.BDP(S234,"security des")</f>
        <v>#NAME?</v>
      </c>
    </row>
    <row r="287" spans="4:19">
      <c r="D287" s="1070" t="e">
        <f ca="1">_xll.BDP(D235,"security des")</f>
        <v>#NAME?</v>
      </c>
      <c r="E287" s="846" t="e">
        <f ca="1">_xll.BDP(E235,"security des")</f>
        <v>#NAME?</v>
      </c>
      <c r="F287" s="846" t="e">
        <f ca="1">_xll.BDP(F235,"security des")</f>
        <v>#NAME?</v>
      </c>
      <c r="G287" s="846" t="e">
        <f ca="1">_xll.BDP(G235,"security des")</f>
        <v>#NAME?</v>
      </c>
      <c r="H287" s="846" t="e">
        <f ca="1">_xll.BDP(H235,"security des")</f>
        <v>#NAME?</v>
      </c>
      <c r="I287" s="846" t="e">
        <f ca="1">_xll.BDP(I235,"security des")</f>
        <v>#NAME?</v>
      </c>
      <c r="J287" s="846" t="e">
        <f ca="1">_xll.BDP(J235,"security des")</f>
        <v>#NAME?</v>
      </c>
      <c r="K287" s="846" t="e">
        <f ca="1">_xll.BDP(K235,"security des")</f>
        <v>#NAME?</v>
      </c>
      <c r="L287" s="846" t="e">
        <f ca="1">_xll.BDP(L235,"security des")</f>
        <v>#NAME?</v>
      </c>
      <c r="M287" s="846" t="e">
        <f ca="1">_xll.BDP(M235,"security des")</f>
        <v>#NAME?</v>
      </c>
      <c r="N287" s="846" t="e">
        <f ca="1">_xll.BDP(N235,"security des")</f>
        <v>#NAME?</v>
      </c>
      <c r="O287" s="846" t="e">
        <f ca="1">_xll.BDP(O235,"security des")</f>
        <v>#NAME?</v>
      </c>
      <c r="P287" s="846" t="e">
        <f ca="1">_xll.BDP(P235,"security des")</f>
        <v>#NAME?</v>
      </c>
      <c r="Q287" s="846" t="e">
        <f ca="1">_xll.BDP(Q235,"security des")</f>
        <v>#NAME?</v>
      </c>
      <c r="R287" s="846" t="e">
        <f ca="1">_xll.BDP(R235,"security des")</f>
        <v>#NAME?</v>
      </c>
      <c r="S287" s="1069" t="e">
        <f ca="1">_xll.BDP(S235,"security des")</f>
        <v>#NAME?</v>
      </c>
    </row>
    <row r="288" spans="4:19">
      <c r="D288" s="1068" t="e">
        <f ca="1">_xll.BDP(D236,"security des")</f>
        <v>#NAME?</v>
      </c>
      <c r="E288" s="1072" t="e">
        <f ca="1">_xll.BDP(E236,"security des")</f>
        <v>#NAME?</v>
      </c>
      <c r="F288" s="846" t="e">
        <f ca="1">_xll.BDP(F236,"security des")</f>
        <v>#NAME?</v>
      </c>
      <c r="G288" s="846" t="e">
        <f ca="1">_xll.BDP(G236,"security des")</f>
        <v>#NAME?</v>
      </c>
      <c r="H288" s="846" t="e">
        <f ca="1">_xll.BDP(H236,"security des")</f>
        <v>#NAME?</v>
      </c>
      <c r="I288" s="846" t="e">
        <f ca="1">_xll.BDP(I236,"security des")</f>
        <v>#NAME?</v>
      </c>
      <c r="J288" s="846" t="e">
        <f ca="1">_xll.BDP(J236,"security des")</f>
        <v>#NAME?</v>
      </c>
      <c r="K288" s="846" t="e">
        <f ca="1">_xll.BDP(K236,"security des")</f>
        <v>#NAME?</v>
      </c>
      <c r="L288" s="846" t="e">
        <f ca="1">_xll.BDP(L236,"security des")</f>
        <v>#NAME?</v>
      </c>
      <c r="M288" s="846" t="e">
        <f ca="1">_xll.BDP(M236,"security des")</f>
        <v>#NAME?</v>
      </c>
      <c r="N288" s="846" t="e">
        <f ca="1">_xll.BDP(N236,"security des")</f>
        <v>#NAME?</v>
      </c>
      <c r="O288" s="846" t="e">
        <f ca="1">_xll.BDP(O236,"security des")</f>
        <v>#NAME?</v>
      </c>
      <c r="P288" s="846" t="e">
        <f ca="1">_xll.BDP(P236,"security des")</f>
        <v>#NAME?</v>
      </c>
      <c r="Q288" s="846" t="e">
        <f ca="1">_xll.BDP(Q236,"security des")</f>
        <v>#NAME?</v>
      </c>
      <c r="R288" s="846" t="e">
        <f ca="1">_xll.BDP(R236,"security des")</f>
        <v>#NAME?</v>
      </c>
      <c r="S288" s="1069" t="e">
        <f ca="1">_xll.BDP(S236,"security des")</f>
        <v>#NAME?</v>
      </c>
    </row>
    <row r="289" spans="4:19">
      <c r="D289" s="1068" t="e">
        <f ca="1">_xll.BDP(D237,"security des")</f>
        <v>#NAME?</v>
      </c>
      <c r="E289" s="846" t="e">
        <f ca="1">_xll.BDP(E237,"security des")</f>
        <v>#NAME?</v>
      </c>
      <c r="F289" s="846" t="e">
        <f ca="1">_xll.BDP(F237,"security des")</f>
        <v>#NAME?</v>
      </c>
      <c r="G289" s="846" t="e">
        <f ca="1">_xll.BDP(G237,"security des")</f>
        <v>#NAME?</v>
      </c>
      <c r="H289" s="846" t="e">
        <f ca="1">_xll.BDP(H237,"security des")</f>
        <v>#NAME?</v>
      </c>
      <c r="I289" s="846" t="e">
        <f ca="1">_xll.BDP(I237,"security des")</f>
        <v>#NAME?</v>
      </c>
      <c r="J289" s="846" t="e">
        <f ca="1">_xll.BDP(J237,"security des")</f>
        <v>#NAME?</v>
      </c>
      <c r="K289" s="846" t="e">
        <f ca="1">_xll.BDP(K237,"security des")</f>
        <v>#NAME?</v>
      </c>
      <c r="L289" s="846" t="e">
        <f ca="1">_xll.BDP(L237,"security des")</f>
        <v>#NAME?</v>
      </c>
      <c r="M289" s="846" t="e">
        <f ca="1">_xll.BDP(M237,"security des")</f>
        <v>#NAME?</v>
      </c>
      <c r="N289" s="846" t="e">
        <f ca="1">_xll.BDP(N237,"security des")</f>
        <v>#NAME?</v>
      </c>
      <c r="O289" s="846" t="e">
        <f ca="1">_xll.BDP(O237,"security des")</f>
        <v>#NAME?</v>
      </c>
      <c r="P289" s="846" t="e">
        <f ca="1">_xll.BDP(P237,"security des")</f>
        <v>#NAME?</v>
      </c>
      <c r="Q289" s="846" t="e">
        <f ca="1">_xll.BDP(Q237,"security des")</f>
        <v>#NAME?</v>
      </c>
      <c r="R289" s="846" t="e">
        <f ca="1">_xll.BDP(R237,"security des")</f>
        <v>#NAME?</v>
      </c>
      <c r="S289" s="1069" t="e">
        <f ca="1">_xll.BDP(S237,"security des")</f>
        <v>#NAME?</v>
      </c>
    </row>
    <row r="290" spans="4:19">
      <c r="D290" s="1068" t="e">
        <f ca="1">_xll.BDP(D238,"security des")</f>
        <v>#NAME?</v>
      </c>
      <c r="E290" s="846" t="e">
        <f ca="1">_xll.BDP(E238,"security des")</f>
        <v>#NAME?</v>
      </c>
      <c r="F290" s="846" t="e">
        <f ca="1">_xll.BDP(F238,"security des")</f>
        <v>#NAME?</v>
      </c>
      <c r="G290" s="846" t="e">
        <f ca="1">_xll.BDP(G238,"security des")</f>
        <v>#NAME?</v>
      </c>
      <c r="H290" s="846" t="e">
        <f ca="1">_xll.BDP(H238,"security des")</f>
        <v>#NAME?</v>
      </c>
      <c r="I290" s="846" t="e">
        <f ca="1">_xll.BDP(I238,"security des")</f>
        <v>#NAME?</v>
      </c>
      <c r="J290" s="846" t="e">
        <f ca="1">_xll.BDP(J238,"security des")</f>
        <v>#NAME?</v>
      </c>
      <c r="K290" s="846" t="e">
        <f ca="1">_xll.BDP(K238,"security des")</f>
        <v>#NAME?</v>
      </c>
      <c r="L290" s="846" t="e">
        <f ca="1">_xll.BDP(L238,"security des")</f>
        <v>#NAME?</v>
      </c>
      <c r="M290" s="846" t="e">
        <f ca="1">_xll.BDP(M238,"security des")</f>
        <v>#NAME?</v>
      </c>
      <c r="N290" s="846" t="e">
        <f ca="1">_xll.BDP(N238,"security des")</f>
        <v>#NAME?</v>
      </c>
      <c r="O290" s="846" t="e">
        <f ca="1">_xll.BDP(O238,"security des")</f>
        <v>#NAME?</v>
      </c>
      <c r="P290" s="846" t="e">
        <f ca="1">_xll.BDP(P238,"security des")</f>
        <v>#NAME?</v>
      </c>
      <c r="Q290" s="846" t="e">
        <f ca="1">_xll.BDP(Q238,"security des")</f>
        <v>#NAME?</v>
      </c>
      <c r="R290" s="846" t="e">
        <f ca="1">_xll.BDP(R238,"security des")</f>
        <v>#NAME?</v>
      </c>
      <c r="S290" s="1069" t="e">
        <f ca="1">_xll.BDP(S238,"security des")</f>
        <v>#NAME?</v>
      </c>
    </row>
    <row r="291" spans="4:19">
      <c r="D291" s="1068" t="e">
        <f ca="1">_xll.BDP(D239,"security des")</f>
        <v>#NAME?</v>
      </c>
      <c r="E291" s="846" t="e">
        <f ca="1">_xll.BDP(E239,"security des")</f>
        <v>#NAME?</v>
      </c>
      <c r="F291" s="846" t="e">
        <f ca="1">_xll.BDP(F239,"security des")</f>
        <v>#NAME?</v>
      </c>
      <c r="G291" s="846" t="e">
        <f ca="1">_xll.BDP(G239,"security des")</f>
        <v>#NAME?</v>
      </c>
      <c r="H291" s="846" t="e">
        <f ca="1">_xll.BDP(H239,"security des")</f>
        <v>#NAME?</v>
      </c>
      <c r="I291" s="846" t="e">
        <f ca="1">_xll.BDP(I239,"security des")</f>
        <v>#NAME?</v>
      </c>
      <c r="J291" s="846" t="e">
        <f ca="1">_xll.BDP(J239,"security des")</f>
        <v>#NAME?</v>
      </c>
      <c r="K291" s="846" t="e">
        <f ca="1">_xll.BDP(K239,"security des")</f>
        <v>#NAME?</v>
      </c>
      <c r="L291" s="846" t="e">
        <f ca="1">_xll.BDP(L239,"security des")</f>
        <v>#NAME?</v>
      </c>
      <c r="M291" s="846" t="e">
        <f ca="1">_xll.BDP(M239,"security des")</f>
        <v>#NAME?</v>
      </c>
      <c r="N291" s="846" t="e">
        <f ca="1">_xll.BDP(N239,"security des")</f>
        <v>#NAME?</v>
      </c>
      <c r="O291" s="846" t="e">
        <f ca="1">_xll.BDP(O239,"security des")</f>
        <v>#NAME?</v>
      </c>
      <c r="P291" s="846" t="e">
        <f ca="1">_xll.BDP(P239,"security des")</f>
        <v>#NAME?</v>
      </c>
      <c r="Q291" s="846" t="e">
        <f ca="1">_xll.BDP(Q239,"security des")</f>
        <v>#NAME?</v>
      </c>
      <c r="R291" s="846" t="e">
        <f ca="1">_xll.BDP(R239,"security des")</f>
        <v>#NAME?</v>
      </c>
      <c r="S291" s="1069" t="e">
        <f ca="1">_xll.BDP(S239,"security des")</f>
        <v>#NAME?</v>
      </c>
    </row>
    <row r="292" spans="4:19">
      <c r="D292" s="1070" t="e">
        <f ca="1">_xll.BDP(D240,"security des")</f>
        <v>#NAME?</v>
      </c>
      <c r="E292" s="846" t="e">
        <f ca="1">_xll.BDP(E240,"security des")</f>
        <v>#NAME?</v>
      </c>
      <c r="F292" s="846" t="e">
        <f ca="1">_xll.BDP(F240,"security des")</f>
        <v>#NAME?</v>
      </c>
      <c r="G292" s="846" t="e">
        <f ca="1">_xll.BDP(G240,"security des")</f>
        <v>#NAME?</v>
      </c>
      <c r="H292" s="846" t="e">
        <f ca="1">_xll.BDP(H240,"security des")</f>
        <v>#NAME?</v>
      </c>
      <c r="I292" s="846" t="e">
        <f ca="1">_xll.BDP(I240,"security des")</f>
        <v>#NAME?</v>
      </c>
      <c r="J292" s="846" t="e">
        <f ca="1">_xll.BDP(J240,"security des")</f>
        <v>#NAME?</v>
      </c>
      <c r="K292" s="846" t="e">
        <f ca="1">_xll.BDP(K240,"security des")</f>
        <v>#NAME?</v>
      </c>
      <c r="L292" s="846" t="e">
        <f ca="1">_xll.BDP(L240,"security des")</f>
        <v>#NAME?</v>
      </c>
      <c r="M292" s="846" t="e">
        <f ca="1">_xll.BDP(M240,"security des")</f>
        <v>#NAME?</v>
      </c>
      <c r="N292" s="846" t="e">
        <f ca="1">_xll.BDP(N240,"security des")</f>
        <v>#NAME?</v>
      </c>
      <c r="O292" s="846" t="e">
        <f ca="1">_xll.BDP(O240,"security des")</f>
        <v>#NAME?</v>
      </c>
      <c r="P292" s="846" t="e">
        <f ca="1">_xll.BDP(P240,"security des")</f>
        <v>#NAME?</v>
      </c>
      <c r="Q292" s="846" t="e">
        <f ca="1">_xll.BDP(Q240,"security des")</f>
        <v>#NAME?</v>
      </c>
      <c r="R292" s="846" t="e">
        <f ca="1">_xll.BDP(R240,"security des")</f>
        <v>#NAME?</v>
      </c>
      <c r="S292" s="1069" t="e">
        <f ca="1">_xll.BDP(S240,"security des")</f>
        <v>#NAME?</v>
      </c>
    </row>
    <row r="293" spans="4:19">
      <c r="D293" s="1068" t="e">
        <f ca="1">_xll.BDP(D241,"security des")</f>
        <v>#NAME?</v>
      </c>
      <c r="E293" s="846" t="e">
        <f ca="1">_xll.BDP(E241,"security des")</f>
        <v>#NAME?</v>
      </c>
      <c r="F293" s="846" t="e">
        <f ca="1">_xll.BDP(F241,"security des")</f>
        <v>#NAME?</v>
      </c>
      <c r="G293" s="846" t="e">
        <f ca="1">_xll.BDP(G241,"security des")</f>
        <v>#NAME?</v>
      </c>
      <c r="H293" s="846" t="e">
        <f ca="1">_xll.BDP(H241,"security des")</f>
        <v>#NAME?</v>
      </c>
      <c r="I293" s="846" t="e">
        <f ca="1">_xll.BDP(I241,"security des")</f>
        <v>#NAME?</v>
      </c>
      <c r="J293" s="846" t="e">
        <f ca="1">_xll.BDP(J241,"security des")</f>
        <v>#NAME?</v>
      </c>
      <c r="K293" s="846" t="e">
        <f ca="1">_xll.BDP(K241,"security des")</f>
        <v>#NAME?</v>
      </c>
      <c r="L293" s="846" t="e">
        <f ca="1">_xll.BDP(L241,"security des")</f>
        <v>#NAME?</v>
      </c>
      <c r="M293" s="846" t="e">
        <f ca="1">_xll.BDP(M241,"security des")</f>
        <v>#NAME?</v>
      </c>
      <c r="N293" s="846" t="e">
        <f ca="1">_xll.BDP(N241,"security des")</f>
        <v>#NAME?</v>
      </c>
      <c r="O293" s="846" t="e">
        <f ca="1">_xll.BDP(O241,"security des")</f>
        <v>#NAME?</v>
      </c>
      <c r="P293" s="846" t="e">
        <f ca="1">_xll.BDP(P241,"security des")</f>
        <v>#NAME?</v>
      </c>
      <c r="Q293" s="846" t="e">
        <f ca="1">_xll.BDP(Q241,"security des")</f>
        <v>#NAME?</v>
      </c>
      <c r="R293" s="846" t="e">
        <f ca="1">_xll.BDP(R241,"security des")</f>
        <v>#NAME?</v>
      </c>
      <c r="S293" s="1069" t="e">
        <f ca="1">_xll.BDP(S241,"security des")</f>
        <v>#NAME?</v>
      </c>
    </row>
    <row r="294" spans="4:19">
      <c r="D294" s="1068" t="e">
        <f ca="1">_xll.BDP(D242,"security des")</f>
        <v>#NAME?</v>
      </c>
      <c r="E294" s="846" t="e">
        <f ca="1">_xll.BDP(E242,"security des")</f>
        <v>#NAME?</v>
      </c>
      <c r="F294" s="846" t="e">
        <f ca="1">_xll.BDP(F242,"security des")</f>
        <v>#NAME?</v>
      </c>
      <c r="G294" s="846" t="e">
        <f ca="1">_xll.BDP(G242,"security des")</f>
        <v>#NAME?</v>
      </c>
      <c r="H294" s="846" t="e">
        <f ca="1">_xll.BDP(H242,"security des")</f>
        <v>#NAME?</v>
      </c>
      <c r="I294" s="846" t="e">
        <f ca="1">_xll.BDP(I242,"security des")</f>
        <v>#NAME?</v>
      </c>
      <c r="J294" s="846" t="e">
        <f ca="1">_xll.BDP(J242,"security des")</f>
        <v>#NAME?</v>
      </c>
      <c r="K294" s="846" t="e">
        <f ca="1">_xll.BDP(K242,"security des")</f>
        <v>#NAME?</v>
      </c>
      <c r="L294" s="846" t="e">
        <f ca="1">_xll.BDP(L242,"security des")</f>
        <v>#NAME?</v>
      </c>
      <c r="M294" s="846" t="e">
        <f ca="1">_xll.BDP(M242,"security des")</f>
        <v>#NAME?</v>
      </c>
      <c r="N294" s="846" t="e">
        <f ca="1">_xll.BDP(N242,"security des")</f>
        <v>#NAME?</v>
      </c>
      <c r="O294" s="846" t="e">
        <f ca="1">_xll.BDP(O242,"security des")</f>
        <v>#NAME?</v>
      </c>
      <c r="P294" s="846" t="e">
        <f ca="1">_xll.BDP(P242,"security des")</f>
        <v>#NAME?</v>
      </c>
      <c r="Q294" s="846" t="e">
        <f ca="1">_xll.BDP(Q242,"security des")</f>
        <v>#NAME?</v>
      </c>
      <c r="R294" s="846" t="e">
        <f ca="1">_xll.BDP(R242,"security des")</f>
        <v>#NAME?</v>
      </c>
      <c r="S294" s="1069" t="e">
        <f ca="1">_xll.BDP(S242,"security des")</f>
        <v>#NAME?</v>
      </c>
    </row>
    <row r="295" spans="4:19">
      <c r="D295" s="1068" t="e">
        <f ca="1">_xll.BDP(D243,"security des")</f>
        <v>#NAME?</v>
      </c>
      <c r="E295" s="846" t="e">
        <f ca="1">_xll.BDP(E243,"security des")</f>
        <v>#NAME?</v>
      </c>
      <c r="F295" s="846" t="e">
        <f ca="1">_xll.BDP(F243,"security des")</f>
        <v>#NAME?</v>
      </c>
      <c r="G295" s="846" t="e">
        <f ca="1">_xll.BDP(G243,"security des")</f>
        <v>#NAME?</v>
      </c>
      <c r="H295" s="846" t="e">
        <f ca="1">_xll.BDP(H243,"security des")</f>
        <v>#NAME?</v>
      </c>
      <c r="I295" s="846" t="e">
        <f ca="1">_xll.BDP(I243,"security des")</f>
        <v>#NAME?</v>
      </c>
      <c r="J295" s="846" t="e">
        <f ca="1">_xll.BDP(J243,"security des")</f>
        <v>#NAME?</v>
      </c>
      <c r="K295" s="846" t="e">
        <f ca="1">_xll.BDP(K243,"security des")</f>
        <v>#NAME?</v>
      </c>
      <c r="L295" s="846" t="e">
        <f ca="1">_xll.BDP(L243,"security des")</f>
        <v>#NAME?</v>
      </c>
      <c r="M295" s="846" t="e">
        <f ca="1">_xll.BDP(M243,"security des")</f>
        <v>#NAME?</v>
      </c>
      <c r="N295" s="846" t="e">
        <f ca="1">_xll.BDP(N243,"security des")</f>
        <v>#NAME?</v>
      </c>
      <c r="O295" s="846" t="e">
        <f ca="1">_xll.BDP(O243,"security des")</f>
        <v>#NAME?</v>
      </c>
      <c r="P295" s="846" t="e">
        <f ca="1">_xll.BDP(P243,"security des")</f>
        <v>#NAME?</v>
      </c>
      <c r="Q295" s="846" t="e">
        <f ca="1">_xll.BDP(Q243,"security des")</f>
        <v>#NAME?</v>
      </c>
      <c r="R295" s="846" t="e">
        <f ca="1">_xll.BDP(R243,"security des")</f>
        <v>#NAME?</v>
      </c>
      <c r="S295" s="1069" t="e">
        <f ca="1">_xll.BDP(S243,"security des")</f>
        <v>#NAME?</v>
      </c>
    </row>
    <row r="296" spans="4:19">
      <c r="D296" s="1068" t="e">
        <f ca="1">_xll.BDP(D244,"security des")</f>
        <v>#NAME?</v>
      </c>
      <c r="E296" s="846" t="e">
        <f ca="1">_xll.BDP(E244,"security des")</f>
        <v>#NAME?</v>
      </c>
      <c r="F296" s="846" t="e">
        <f ca="1">_xll.BDP(F244,"security des")</f>
        <v>#NAME?</v>
      </c>
      <c r="G296" s="846" t="e">
        <f ca="1">_xll.BDP(G244,"security des")</f>
        <v>#NAME?</v>
      </c>
      <c r="H296" s="846" t="e">
        <f ca="1">_xll.BDP(H244,"security des")</f>
        <v>#NAME?</v>
      </c>
      <c r="I296" s="846" t="e">
        <f ca="1">_xll.BDP(I244,"security des")</f>
        <v>#NAME?</v>
      </c>
      <c r="J296" s="846" t="e">
        <f ca="1">_xll.BDP(J244,"security des")</f>
        <v>#NAME?</v>
      </c>
      <c r="K296" s="846" t="e">
        <f ca="1">_xll.BDP(K244,"security des")</f>
        <v>#NAME?</v>
      </c>
      <c r="L296" s="846" t="e">
        <f ca="1">_xll.BDP(L244,"security des")</f>
        <v>#NAME?</v>
      </c>
      <c r="M296" s="846" t="e">
        <f ca="1">_xll.BDP(M244,"security des")</f>
        <v>#NAME?</v>
      </c>
      <c r="N296" s="846" t="e">
        <f ca="1">_xll.BDP(N244,"security des")</f>
        <v>#NAME?</v>
      </c>
      <c r="O296" s="846" t="e">
        <f ca="1">_xll.BDP(O244,"security des")</f>
        <v>#NAME?</v>
      </c>
      <c r="P296" s="846" t="e">
        <f ca="1">_xll.BDP(P244,"security des")</f>
        <v>#NAME?</v>
      </c>
      <c r="Q296" s="846" t="e">
        <f ca="1">_xll.BDP(Q244,"security des")</f>
        <v>#NAME?</v>
      </c>
      <c r="R296" s="846" t="e">
        <f ca="1">_xll.BDP(R244,"security des")</f>
        <v>#NAME?</v>
      </c>
      <c r="S296" s="1069" t="e">
        <f ca="1">_xll.BDP(S244,"security des")</f>
        <v>#NAME?</v>
      </c>
    </row>
    <row r="297" spans="4:19">
      <c r="D297" s="1070" t="e">
        <f ca="1">_xll.BDP(D245,"security des")</f>
        <v>#NAME?</v>
      </c>
      <c r="E297" s="846" t="e">
        <f ca="1">_xll.BDP(E245,"security des")</f>
        <v>#NAME?</v>
      </c>
      <c r="F297" s="846" t="e">
        <f ca="1">_xll.BDP(F245,"security des")</f>
        <v>#NAME?</v>
      </c>
      <c r="G297" s="846" t="e">
        <f ca="1">_xll.BDP(G245,"security des")</f>
        <v>#NAME?</v>
      </c>
      <c r="H297" s="846" t="e">
        <f ca="1">_xll.BDP(H245,"security des")</f>
        <v>#NAME?</v>
      </c>
      <c r="I297" s="846" t="e">
        <f ca="1">_xll.BDP(I245,"security des")</f>
        <v>#NAME?</v>
      </c>
      <c r="J297" s="846" t="e">
        <f ca="1">_xll.BDP(J245,"security des")</f>
        <v>#NAME?</v>
      </c>
      <c r="K297" s="846" t="e">
        <f ca="1">_xll.BDP(K245,"security des")</f>
        <v>#NAME?</v>
      </c>
      <c r="L297" s="846" t="e">
        <f ca="1">_xll.BDP(L245,"security des")</f>
        <v>#NAME?</v>
      </c>
      <c r="M297" s="846" t="e">
        <f ca="1">_xll.BDP(M245,"security des")</f>
        <v>#NAME?</v>
      </c>
      <c r="N297" s="846" t="e">
        <f ca="1">_xll.BDP(N245,"security des")</f>
        <v>#NAME?</v>
      </c>
      <c r="O297" s="846" t="e">
        <f ca="1">_xll.BDP(O245,"security des")</f>
        <v>#NAME?</v>
      </c>
      <c r="P297" s="846" t="e">
        <f ca="1">_xll.BDP(P245,"security des")</f>
        <v>#NAME?</v>
      </c>
      <c r="Q297" s="846" t="e">
        <f ca="1">_xll.BDP(Q245,"security des")</f>
        <v>#NAME?</v>
      </c>
      <c r="R297" s="846" t="e">
        <f ca="1">_xll.BDP(R245,"security des")</f>
        <v>#NAME?</v>
      </c>
      <c r="S297" s="1069" t="e">
        <f ca="1">_xll.BDP(S245,"security des")</f>
        <v>#NAME?</v>
      </c>
    </row>
    <row r="298" spans="4:19">
      <c r="D298" s="1068" t="e">
        <f ca="1">_xll.BDP(D246,"security des")</f>
        <v>#NAME?</v>
      </c>
      <c r="E298" s="846" t="e">
        <f ca="1">_xll.BDP(E246,"security des")</f>
        <v>#NAME?</v>
      </c>
      <c r="F298" s="846" t="e">
        <f ca="1">_xll.BDP(F246,"security des")</f>
        <v>#NAME?</v>
      </c>
      <c r="G298" s="846" t="e">
        <f ca="1">_xll.BDP(G246,"security des")</f>
        <v>#NAME?</v>
      </c>
      <c r="H298" s="846" t="e">
        <f ca="1">_xll.BDP(H246,"security des")</f>
        <v>#NAME?</v>
      </c>
      <c r="I298" s="846" t="e">
        <f ca="1">_xll.BDP(I246,"security des")</f>
        <v>#NAME?</v>
      </c>
      <c r="J298" s="846" t="e">
        <f ca="1">_xll.BDP(J246,"security des")</f>
        <v>#NAME?</v>
      </c>
      <c r="K298" s="846" t="e">
        <f ca="1">_xll.BDP(K246,"security des")</f>
        <v>#NAME?</v>
      </c>
      <c r="L298" s="846" t="e">
        <f ca="1">_xll.BDP(L246,"security des")</f>
        <v>#NAME?</v>
      </c>
      <c r="M298" s="846" t="e">
        <f ca="1">_xll.BDP(M246,"security des")</f>
        <v>#NAME?</v>
      </c>
      <c r="N298" s="846" t="e">
        <f ca="1">_xll.BDP(N246,"security des")</f>
        <v>#NAME?</v>
      </c>
      <c r="O298" s="846" t="e">
        <f ca="1">_xll.BDP(O246,"security des")</f>
        <v>#NAME?</v>
      </c>
      <c r="P298" s="846" t="e">
        <f ca="1">_xll.BDP(P246,"security des")</f>
        <v>#NAME?</v>
      </c>
      <c r="Q298" s="846" t="e">
        <f ca="1">_xll.BDP(Q246,"security des")</f>
        <v>#NAME?</v>
      </c>
      <c r="R298" s="846" t="e">
        <f ca="1">_xll.BDP(R246,"security des")</f>
        <v>#NAME?</v>
      </c>
      <c r="S298" s="1069" t="e">
        <f ca="1">_xll.BDP(S246,"security des")</f>
        <v>#NAME?</v>
      </c>
    </row>
    <row r="299" spans="4:19">
      <c r="D299" s="1075" t="e">
        <f ca="1">_xll.BDP(D247,"security des")</f>
        <v>#NAME?</v>
      </c>
      <c r="E299" s="934" t="e">
        <f ca="1">_xll.BDP(E247,"security des")</f>
        <v>#NAME?</v>
      </c>
      <c r="F299" s="934" t="e">
        <f ca="1">_xll.BDP(F247,"security des")</f>
        <v>#NAME?</v>
      </c>
      <c r="G299" s="934" t="e">
        <f ca="1">_xll.BDP(G247,"security des")</f>
        <v>#NAME?</v>
      </c>
      <c r="H299" s="934" t="e">
        <f ca="1">_xll.BDP(H247,"security des")</f>
        <v>#NAME?</v>
      </c>
      <c r="I299" s="934" t="e">
        <f ca="1">_xll.BDP(I247,"security des")</f>
        <v>#NAME?</v>
      </c>
      <c r="J299" s="934" t="e">
        <f ca="1">_xll.BDP(J247,"security des")</f>
        <v>#NAME?</v>
      </c>
      <c r="K299" s="934" t="e">
        <f ca="1">_xll.BDP(K247,"security des")</f>
        <v>#NAME?</v>
      </c>
      <c r="L299" s="934" t="e">
        <f ca="1">_xll.BDP(L247,"security des")</f>
        <v>#NAME?</v>
      </c>
      <c r="M299" s="934" t="e">
        <f ca="1">_xll.BDP(M247,"security des")</f>
        <v>#NAME?</v>
      </c>
      <c r="N299" s="934" t="e">
        <f ca="1">_xll.BDP(N247,"security des")</f>
        <v>#NAME?</v>
      </c>
      <c r="O299" s="934" t="e">
        <f ca="1">_xll.BDP(O247,"security des")</f>
        <v>#NAME?</v>
      </c>
      <c r="P299" s="934" t="e">
        <f ca="1">_xll.BDP(P247,"security des")</f>
        <v>#NAME?</v>
      </c>
      <c r="Q299" s="934" t="e">
        <f ca="1">_xll.BDP(Q247,"security des")</f>
        <v>#NAME?</v>
      </c>
      <c r="R299" s="934" t="e">
        <f ca="1">_xll.BDP(R247,"security des")</f>
        <v>#NAME?</v>
      </c>
      <c r="S299" s="1076" t="e">
        <f ca="1">_xll.BDP(S247,"security des")</f>
        <v>#NAME?</v>
      </c>
    </row>
  </sheetData>
  <mergeCells count="3">
    <mergeCell ref="AH146:AL146"/>
    <mergeCell ref="G48:H48"/>
    <mergeCell ref="G49:H49"/>
  </mergeCells>
  <pageMargins left="0.7" right="0.7" top="0.75" bottom="0.75" header="0.3" footer="0.3"/>
  <pageSetup paperSize="9" orientation="portrait" r:id="rId1"/>
  <ignoredErrors>
    <ignoredError sqref="M176" formula="1"/>
  </ignoredError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FFFFCC"/>
  </sheetPr>
  <dimension ref="A1:W88"/>
  <sheetViews>
    <sheetView zoomScale="90" zoomScaleNormal="90" workbookViewId="0"/>
  </sheetViews>
  <sheetFormatPr baseColWidth="10" defaultColWidth="9.140625" defaultRowHeight="15"/>
  <cols>
    <col min="1" max="1" width="3.7109375" style="1117" customWidth="1"/>
    <col min="2" max="2" width="10" style="1117" customWidth="1"/>
    <col min="3" max="3" width="31.7109375" style="1117" bestFit="1" customWidth="1"/>
    <col min="4" max="5" width="6.42578125" style="1117" bestFit="1" customWidth="1"/>
    <col min="6" max="6" width="9.140625" style="1117"/>
    <col min="7" max="7" width="61.85546875" style="1117" bestFit="1" customWidth="1"/>
    <col min="8" max="8" width="18.85546875" style="1117" bestFit="1" customWidth="1"/>
    <col min="9" max="9" width="8.7109375" style="1117" bestFit="1" customWidth="1"/>
    <col min="10" max="10" width="9.140625" style="1117"/>
    <col min="11" max="11" width="37.42578125" style="1117" bestFit="1" customWidth="1"/>
    <col min="12" max="12" width="11.140625" style="1117" customWidth="1"/>
    <col min="13" max="13" width="9.140625" style="1117"/>
    <col min="14" max="14" width="12.85546875" style="1117" customWidth="1"/>
    <col min="15" max="16384" width="9.140625" style="1117"/>
  </cols>
  <sheetData>
    <row r="1" spans="1:23">
      <c r="A1" s="1122"/>
      <c r="B1" s="1122"/>
      <c r="C1" s="1122"/>
      <c r="D1" s="1122"/>
      <c r="E1" s="1122"/>
      <c r="F1" s="1122"/>
      <c r="G1" s="1122"/>
      <c r="H1" s="1122"/>
      <c r="I1" s="1122"/>
      <c r="J1" s="1122"/>
      <c r="K1" s="1122"/>
      <c r="L1" s="1122"/>
      <c r="M1" s="1122"/>
      <c r="N1" s="1122"/>
      <c r="O1" s="1122"/>
      <c r="P1" s="1122"/>
      <c r="Q1" s="1122"/>
      <c r="R1" s="1122"/>
      <c r="S1" s="1122"/>
      <c r="T1" s="1122"/>
      <c r="U1" s="1122"/>
      <c r="V1" s="1122"/>
      <c r="W1" s="1122"/>
    </row>
    <row r="2" spans="1:23" ht="44.25" customHeight="1">
      <c r="A2" s="1122"/>
      <c r="B2" s="1787" t="s">
        <v>1835</v>
      </c>
      <c r="C2" s="1122"/>
      <c r="D2" s="1122"/>
      <c r="E2" s="1122"/>
      <c r="F2" s="1122"/>
      <c r="G2" s="1122"/>
      <c r="H2" s="1122"/>
      <c r="I2" s="1122"/>
      <c r="J2" s="1122"/>
      <c r="K2" s="1122"/>
      <c r="L2" s="1122"/>
      <c r="M2" s="1122"/>
      <c r="N2" s="1122"/>
      <c r="O2" s="1122"/>
      <c r="P2" s="1122"/>
      <c r="Q2" s="1122"/>
      <c r="R2" s="1122"/>
      <c r="S2" s="1122"/>
      <c r="T2" s="1122"/>
      <c r="U2" s="1122"/>
      <c r="V2" s="1122"/>
      <c r="W2" s="1122"/>
    </row>
    <row r="3" spans="1:23">
      <c r="A3" s="1122"/>
      <c r="B3" s="1788"/>
      <c r="C3" s="1122"/>
      <c r="D3" s="1122"/>
      <c r="E3" s="1122"/>
      <c r="F3" s="1122"/>
      <c r="G3" s="1122"/>
      <c r="H3" s="1122"/>
      <c r="I3" s="1122"/>
      <c r="J3" s="1122"/>
      <c r="K3" s="1122"/>
      <c r="L3" s="1122"/>
      <c r="M3" s="1122"/>
      <c r="N3" s="1122"/>
      <c r="O3" s="1122"/>
      <c r="P3" s="1122"/>
      <c r="Q3" s="1122"/>
      <c r="R3" s="1122"/>
      <c r="S3" s="1122"/>
      <c r="T3" s="1122"/>
      <c r="U3" s="1122"/>
      <c r="V3" s="1122"/>
      <c r="W3" s="1122"/>
    </row>
    <row r="4" spans="1:23" ht="21">
      <c r="A4" s="1122"/>
      <c r="B4" s="1789" t="s">
        <v>1532</v>
      </c>
      <c r="C4" s="1122"/>
      <c r="D4" s="1122"/>
      <c r="E4" s="1122"/>
      <c r="F4" s="1122"/>
      <c r="G4" s="1122"/>
      <c r="H4" s="1122"/>
      <c r="I4" s="1122"/>
      <c r="J4" s="1122"/>
      <c r="K4" s="1122"/>
      <c r="L4" s="1122"/>
      <c r="M4" s="1122"/>
      <c r="N4" s="1122"/>
      <c r="O4" s="1122"/>
      <c r="P4" s="1122"/>
      <c r="Q4" s="1122"/>
      <c r="R4" s="1122"/>
      <c r="S4" s="1122"/>
      <c r="T4" s="1122"/>
      <c r="U4" s="1122"/>
      <c r="V4" s="1122"/>
      <c r="W4" s="1122"/>
    </row>
    <row r="5" spans="1:23">
      <c r="A5" s="1122"/>
      <c r="B5" s="1122"/>
      <c r="C5" s="1122"/>
      <c r="D5" s="1122"/>
      <c r="E5" s="1122"/>
      <c r="F5" s="1122"/>
      <c r="G5" s="1122"/>
      <c r="H5" s="1122"/>
      <c r="I5" s="1122"/>
      <c r="J5" s="1122"/>
      <c r="K5" s="1122"/>
      <c r="L5" s="1122"/>
      <c r="M5" s="1122"/>
      <c r="N5" s="1122"/>
      <c r="O5" s="1122"/>
      <c r="P5" s="1122"/>
      <c r="Q5" s="1122"/>
      <c r="R5" s="1122"/>
      <c r="S5" s="1122"/>
      <c r="T5" s="1122"/>
      <c r="U5" s="1122"/>
      <c r="V5" s="1122"/>
      <c r="W5" s="1122"/>
    </row>
    <row r="6" spans="1:23">
      <c r="A6" s="1122"/>
      <c r="B6" s="1122"/>
      <c r="C6" s="1122"/>
      <c r="D6" s="1122"/>
      <c r="E6" s="1122"/>
      <c r="F6" s="1122"/>
      <c r="G6" s="1122"/>
      <c r="H6" s="1122"/>
      <c r="I6" s="1122"/>
      <c r="J6" s="1122"/>
      <c r="K6" s="1122"/>
      <c r="L6" s="1122"/>
      <c r="M6" s="1122"/>
      <c r="N6" s="1122"/>
      <c r="O6" s="1122"/>
      <c r="P6" s="1122"/>
      <c r="Q6" s="1122"/>
      <c r="R6" s="1122"/>
      <c r="U6" s="1122"/>
      <c r="V6" s="1122"/>
      <c r="W6" s="1122"/>
    </row>
    <row r="7" spans="1:23">
      <c r="A7" s="1122"/>
      <c r="B7" s="1122"/>
      <c r="C7" s="1122"/>
      <c r="D7" s="1122"/>
      <c r="E7" s="1122"/>
      <c r="F7" s="1122"/>
      <c r="G7" s="1122"/>
      <c r="H7" s="1122"/>
      <c r="I7" s="1122"/>
      <c r="J7" s="1122"/>
      <c r="K7" s="1122"/>
      <c r="L7" s="1122"/>
      <c r="M7" s="1122"/>
      <c r="N7" s="1122"/>
      <c r="O7" s="2174" t="s">
        <v>1713</v>
      </c>
      <c r="P7" s="1122"/>
      <c r="Q7" s="1122"/>
      <c r="R7" s="1122"/>
      <c r="T7" s="1122"/>
      <c r="U7" s="1122"/>
      <c r="V7" s="1122"/>
      <c r="W7" s="1122"/>
    </row>
    <row r="8" spans="1:23">
      <c r="A8" s="1122"/>
      <c r="B8" s="1122"/>
      <c r="C8" s="1122"/>
      <c r="D8" s="1122"/>
      <c r="E8" s="1122"/>
      <c r="F8" s="1122"/>
      <c r="G8" s="1122"/>
      <c r="H8" s="1122"/>
      <c r="I8" s="1122"/>
      <c r="J8" s="1122"/>
      <c r="K8" s="1122"/>
      <c r="L8" s="1122"/>
      <c r="M8" s="1122"/>
      <c r="N8" s="1122"/>
      <c r="O8" s="2173" t="s">
        <v>1712</v>
      </c>
      <c r="P8" s="1122"/>
      <c r="Q8" s="1122"/>
      <c r="R8" s="1122"/>
      <c r="T8" s="1122"/>
      <c r="U8" s="1122"/>
      <c r="V8" s="1122"/>
      <c r="W8" s="1122"/>
    </row>
    <row r="9" spans="1:23">
      <c r="A9" s="1122"/>
      <c r="B9" s="1122"/>
      <c r="C9" s="1122"/>
      <c r="D9" s="1122"/>
      <c r="E9" s="1122"/>
      <c r="F9" s="1122"/>
      <c r="G9" s="1122"/>
      <c r="H9" s="1122"/>
      <c r="I9" s="1122"/>
      <c r="J9" s="1122"/>
      <c r="K9" s="1122"/>
      <c r="L9" s="1122"/>
      <c r="M9" s="1122"/>
      <c r="N9" s="1122"/>
      <c r="P9" s="1122"/>
      <c r="Q9" s="1122"/>
      <c r="R9" s="1122"/>
      <c r="U9" s="1122"/>
      <c r="V9" s="1122"/>
      <c r="W9" s="1122"/>
    </row>
    <row r="10" spans="1:23">
      <c r="A10" s="1122"/>
      <c r="B10" s="1122"/>
      <c r="C10" s="1122"/>
      <c r="D10" s="1122"/>
      <c r="E10" s="1122"/>
      <c r="F10" s="1122"/>
      <c r="G10" s="1122"/>
      <c r="H10" s="1122"/>
      <c r="I10" s="1122"/>
      <c r="J10" s="1122"/>
      <c r="K10" s="1122"/>
      <c r="L10" s="1122"/>
      <c r="M10" s="1122"/>
      <c r="N10" s="1122"/>
      <c r="O10" s="1122"/>
      <c r="P10" s="1122"/>
      <c r="Q10" s="1122"/>
      <c r="R10" s="1122"/>
      <c r="T10" s="1122"/>
      <c r="U10" s="1122"/>
      <c r="V10" s="1122"/>
      <c r="W10" s="1122"/>
    </row>
    <row r="11" spans="1:23">
      <c r="A11" s="1122"/>
      <c r="B11" s="1122"/>
      <c r="C11" s="1122"/>
      <c r="D11" s="1122"/>
      <c r="E11" s="1122"/>
      <c r="F11" s="1122"/>
      <c r="G11" s="1122"/>
      <c r="H11" s="1122"/>
      <c r="I11" s="1122"/>
      <c r="J11" s="1122"/>
      <c r="K11" s="1122"/>
      <c r="L11" s="1122"/>
      <c r="M11" s="1122"/>
      <c r="N11" s="1122"/>
      <c r="O11" s="1122"/>
      <c r="P11" s="1122"/>
      <c r="Q11" s="1122"/>
      <c r="R11" s="1122"/>
      <c r="T11" s="1122"/>
      <c r="U11" s="1122"/>
      <c r="V11" s="1122"/>
      <c r="W11" s="1122"/>
    </row>
    <row r="12" spans="1:23">
      <c r="A12" s="1122"/>
      <c r="B12" s="1122"/>
      <c r="C12" s="1122"/>
      <c r="D12" s="1122"/>
      <c r="E12" s="1122"/>
      <c r="F12" s="1122"/>
      <c r="G12" s="1122"/>
      <c r="H12" s="1122"/>
      <c r="I12" s="1122"/>
      <c r="J12" s="1122"/>
      <c r="K12" s="1122"/>
      <c r="L12" s="1122"/>
      <c r="M12" s="1122"/>
      <c r="N12" s="1122"/>
      <c r="O12" s="1122"/>
      <c r="P12" s="1122"/>
      <c r="Q12" s="1122"/>
      <c r="R12" s="1122"/>
      <c r="T12" s="1122"/>
      <c r="U12" s="1122"/>
      <c r="V12" s="1122"/>
      <c r="W12" s="1122"/>
    </row>
    <row r="13" spans="1:23">
      <c r="A13" s="1122"/>
      <c r="B13" s="1122"/>
      <c r="C13" s="1122"/>
      <c r="D13" s="1122"/>
      <c r="E13" s="1122"/>
      <c r="F13" s="1122"/>
      <c r="G13" s="1122"/>
      <c r="H13" s="1122"/>
      <c r="I13" s="1122"/>
      <c r="J13" s="1122"/>
      <c r="K13" s="1122"/>
      <c r="L13" s="1122"/>
      <c r="M13" s="1122"/>
      <c r="N13" s="1122"/>
      <c r="O13" s="1122"/>
      <c r="P13" s="1122"/>
      <c r="Q13" s="1122"/>
      <c r="R13" s="1122"/>
      <c r="T13" s="1122"/>
      <c r="U13" s="1122"/>
      <c r="V13" s="1122"/>
      <c r="W13" s="1122"/>
    </row>
    <row r="14" spans="1:23">
      <c r="A14" s="1122"/>
      <c r="B14" s="1122"/>
      <c r="C14" s="1122"/>
      <c r="D14" s="1122"/>
      <c r="E14" s="1122"/>
      <c r="F14" s="1122"/>
      <c r="G14" s="1122"/>
      <c r="H14" s="1122"/>
      <c r="I14" s="1122"/>
      <c r="J14" s="1122"/>
      <c r="K14" s="1122"/>
      <c r="L14" s="1122"/>
      <c r="M14" s="1122"/>
      <c r="N14" s="1122"/>
      <c r="O14" s="1122"/>
      <c r="P14" s="1122"/>
      <c r="Q14" s="1122"/>
      <c r="R14" s="1122"/>
      <c r="T14" s="1122"/>
      <c r="U14" s="1122"/>
      <c r="V14" s="1122"/>
      <c r="W14" s="1122"/>
    </row>
    <row r="15" spans="1:23">
      <c r="A15" s="1122"/>
      <c r="B15" s="1122"/>
      <c r="C15" s="1122"/>
      <c r="D15" s="1122"/>
      <c r="E15" s="1122"/>
      <c r="F15" s="1122"/>
      <c r="G15" s="1122"/>
      <c r="H15" s="1122"/>
      <c r="I15" s="1122"/>
      <c r="J15" s="1122"/>
      <c r="K15" s="1122"/>
      <c r="L15" s="1122"/>
      <c r="M15" s="1122"/>
      <c r="N15" s="1122"/>
      <c r="O15" s="1122"/>
      <c r="P15" s="1122"/>
      <c r="Q15" s="1122"/>
      <c r="R15" s="1122"/>
      <c r="T15" s="1122"/>
      <c r="U15" s="1122"/>
      <c r="V15" s="1122"/>
      <c r="W15" s="1122"/>
    </row>
    <row r="16" spans="1:23">
      <c r="A16" s="1122"/>
      <c r="B16" s="1122"/>
      <c r="C16" s="1122"/>
      <c r="D16" s="1122"/>
      <c r="E16" s="1122"/>
      <c r="F16" s="1122"/>
      <c r="G16" s="1122"/>
      <c r="H16" s="1122"/>
      <c r="I16" s="1122"/>
      <c r="J16" s="1122"/>
      <c r="K16" s="1122"/>
      <c r="L16" s="1122"/>
      <c r="M16" s="1122"/>
      <c r="N16" s="1122"/>
      <c r="O16" s="1122"/>
      <c r="P16" s="1122"/>
      <c r="Q16" s="1122"/>
      <c r="R16" s="1122"/>
      <c r="T16" s="1122"/>
      <c r="U16" s="1122"/>
      <c r="V16" s="1122"/>
      <c r="W16" s="1122"/>
    </row>
    <row r="17" spans="1:23">
      <c r="A17" s="1122"/>
      <c r="B17" s="1122"/>
      <c r="C17" s="1122"/>
      <c r="D17" s="1122"/>
      <c r="E17" s="1122"/>
      <c r="F17" s="1122"/>
      <c r="G17" s="1122"/>
      <c r="H17" s="1122"/>
      <c r="I17" s="1122"/>
      <c r="J17" s="1122"/>
      <c r="K17" s="1122"/>
      <c r="L17" s="1122"/>
      <c r="M17" s="1122"/>
      <c r="N17" s="1122"/>
      <c r="O17" s="1122"/>
      <c r="P17" s="1122"/>
      <c r="Q17" s="1122"/>
      <c r="R17" s="1122"/>
      <c r="T17" s="1122"/>
      <c r="U17" s="1122"/>
      <c r="V17" s="1122"/>
      <c r="W17" s="1122"/>
    </row>
    <row r="18" spans="1:23">
      <c r="A18" s="1122"/>
      <c r="B18" s="1122"/>
      <c r="C18" s="1122"/>
      <c r="D18" s="1122"/>
      <c r="E18" s="1122"/>
      <c r="F18" s="1122"/>
      <c r="G18" s="1122"/>
      <c r="H18" s="1122"/>
      <c r="I18" s="1122"/>
      <c r="J18" s="1122"/>
      <c r="K18" s="1122"/>
      <c r="L18" s="1122"/>
      <c r="M18" s="1122"/>
      <c r="N18" s="1122"/>
      <c r="O18" s="1122"/>
      <c r="P18" s="1122"/>
      <c r="Q18" s="1122"/>
      <c r="R18" s="1122"/>
      <c r="T18" s="1122"/>
      <c r="U18" s="1122"/>
      <c r="V18" s="1122"/>
      <c r="W18" s="1122"/>
    </row>
    <row r="19" spans="1:23">
      <c r="A19" s="1122"/>
      <c r="B19" s="1122"/>
      <c r="C19" s="1122"/>
      <c r="D19" s="1122"/>
      <c r="E19" s="1122"/>
      <c r="F19" s="1122"/>
      <c r="G19" s="1122"/>
      <c r="H19" s="1122"/>
      <c r="I19" s="1122"/>
      <c r="J19" s="1122"/>
      <c r="K19" s="1122"/>
      <c r="L19" s="1122"/>
      <c r="M19" s="1122"/>
      <c r="N19" s="1122"/>
      <c r="O19" s="1122"/>
      <c r="P19" s="1122"/>
      <c r="Q19" s="1122"/>
      <c r="R19" s="1122"/>
      <c r="T19" s="1122"/>
      <c r="U19" s="1122"/>
      <c r="V19" s="1122"/>
      <c r="W19" s="1122"/>
    </row>
    <row r="20" spans="1:23">
      <c r="A20" s="1122"/>
      <c r="B20" s="1122"/>
      <c r="C20" s="1122"/>
      <c r="D20" s="1122"/>
      <c r="E20" s="1122"/>
      <c r="F20" s="1122"/>
      <c r="G20" s="1122"/>
      <c r="H20" s="1122"/>
      <c r="I20" s="1122"/>
      <c r="J20" s="1122"/>
      <c r="K20" s="1122"/>
      <c r="L20" s="1122"/>
      <c r="M20" s="1122"/>
      <c r="N20" s="1122"/>
      <c r="O20" s="1122"/>
      <c r="P20" s="1122"/>
      <c r="Q20" s="1122"/>
      <c r="R20" s="1122"/>
      <c r="U20" s="1122"/>
      <c r="V20" s="1122"/>
      <c r="W20" s="1122"/>
    </row>
    <row r="21" spans="1:23">
      <c r="A21" s="1122"/>
      <c r="B21" s="1122"/>
      <c r="C21" s="1122"/>
      <c r="D21" s="1122"/>
      <c r="E21" s="1122"/>
      <c r="F21" s="1122"/>
      <c r="G21" s="1122"/>
      <c r="H21" s="1122"/>
      <c r="I21" s="1122"/>
      <c r="J21" s="1122"/>
      <c r="K21" s="1122"/>
      <c r="L21" s="1122"/>
      <c r="M21" s="1122"/>
      <c r="N21" s="1122"/>
      <c r="O21" s="1231" t="s">
        <v>1714</v>
      </c>
      <c r="P21" s="1122"/>
      <c r="Q21" s="1122"/>
      <c r="R21" s="1122"/>
      <c r="S21" s="1122"/>
      <c r="T21" s="1122"/>
      <c r="U21" s="1122"/>
      <c r="V21" s="1122"/>
      <c r="W21" s="1122"/>
    </row>
    <row r="22" spans="1:23">
      <c r="A22" s="1122"/>
      <c r="B22" s="1122"/>
      <c r="C22" s="1122"/>
      <c r="D22" s="1122"/>
      <c r="E22" s="1122"/>
      <c r="F22" s="1122"/>
      <c r="G22" s="1122"/>
      <c r="H22" s="1122"/>
      <c r="I22" s="1122"/>
      <c r="J22" s="1122"/>
      <c r="K22" s="1122"/>
      <c r="L22" s="1122"/>
      <c r="M22" s="1122"/>
      <c r="N22" s="1122"/>
      <c r="O22" s="1122"/>
      <c r="P22" s="1122"/>
      <c r="Q22" s="1122"/>
      <c r="R22" s="1122"/>
      <c r="S22" s="1122"/>
      <c r="T22" s="1122"/>
      <c r="U22" s="1122"/>
      <c r="V22" s="1122"/>
      <c r="W22" s="1122"/>
    </row>
    <row r="23" spans="1:23">
      <c r="A23" s="1122"/>
      <c r="B23" s="1122"/>
      <c r="C23" s="1122"/>
      <c r="D23" s="1122"/>
      <c r="E23" s="1122"/>
      <c r="F23" s="1122"/>
      <c r="G23" s="1122"/>
      <c r="H23" s="1122"/>
      <c r="I23" s="1122"/>
      <c r="J23" s="1122"/>
      <c r="K23" s="1122"/>
      <c r="L23" s="1122"/>
      <c r="M23" s="1122"/>
      <c r="N23" s="1122"/>
      <c r="P23" s="1122"/>
      <c r="Q23" s="1122"/>
      <c r="R23" s="1122"/>
      <c r="S23" s="1122"/>
      <c r="T23" s="1122"/>
      <c r="U23" s="1122"/>
      <c r="V23" s="1122"/>
      <c r="W23" s="1122"/>
    </row>
    <row r="24" spans="1:23" ht="21">
      <c r="A24" s="1122"/>
      <c r="B24" s="1789" t="s">
        <v>1533</v>
      </c>
      <c r="C24" s="1790"/>
      <c r="D24" s="1790"/>
      <c r="E24" s="1790"/>
      <c r="F24" s="1791"/>
      <c r="G24" s="1792"/>
      <c r="H24" s="1791"/>
      <c r="I24" s="1791"/>
      <c r="J24" s="1791"/>
      <c r="K24" s="1791" t="s">
        <v>1618</v>
      </c>
      <c r="L24" s="1791"/>
      <c r="M24" s="1122"/>
      <c r="N24" s="1122"/>
      <c r="O24" s="1122"/>
      <c r="P24" s="1122"/>
      <c r="Q24" s="1122"/>
      <c r="R24" s="1122"/>
      <c r="S24" s="1122"/>
      <c r="T24" s="1122"/>
      <c r="U24" s="1122"/>
      <c r="V24" s="1122"/>
      <c r="W24" s="1122"/>
    </row>
    <row r="25" spans="1:23" ht="21">
      <c r="A25" s="1122"/>
      <c r="B25" s="1789"/>
      <c r="C25" s="1790"/>
      <c r="D25" s="1790"/>
      <c r="E25" s="1790"/>
      <c r="F25" s="1791"/>
      <c r="G25" s="1792"/>
      <c r="H25" s="1791"/>
      <c r="I25" s="1791"/>
      <c r="J25" s="1791"/>
      <c r="K25" s="1791"/>
      <c r="L25" s="1791"/>
      <c r="M25" s="1122"/>
      <c r="N25" s="1122"/>
      <c r="O25" s="1122"/>
      <c r="P25" s="1122"/>
      <c r="Q25" s="1122"/>
      <c r="R25" s="1122"/>
      <c r="S25" s="1122"/>
      <c r="T25" s="1122"/>
      <c r="U25" s="1122"/>
      <c r="V25" s="1122"/>
      <c r="W25" s="1122"/>
    </row>
    <row r="26" spans="1:23">
      <c r="A26" s="1122"/>
      <c r="B26" s="2416" t="s">
        <v>1534</v>
      </c>
      <c r="C26" s="2416"/>
      <c r="D26" s="2416"/>
      <c r="E26" s="2416"/>
      <c r="F26" s="1793"/>
      <c r="G26" s="2417" t="s">
        <v>1534</v>
      </c>
      <c r="H26" s="2417"/>
      <c r="I26" s="2417"/>
      <c r="J26" s="1793"/>
      <c r="K26" s="2417" t="s">
        <v>1534</v>
      </c>
      <c r="L26" s="2417"/>
      <c r="M26" s="1122"/>
      <c r="N26" s="1122"/>
      <c r="O26" s="1122"/>
      <c r="P26" s="1122"/>
      <c r="Q26" s="1122"/>
      <c r="R26" s="1122"/>
      <c r="S26" s="1122"/>
      <c r="T26" s="1122"/>
      <c r="U26" s="1122"/>
      <c r="V26" s="1122"/>
      <c r="W26" s="1122"/>
    </row>
    <row r="27" spans="1:23" ht="21">
      <c r="A27" s="1122"/>
      <c r="B27" s="2418" t="s">
        <v>1535</v>
      </c>
      <c r="C27" s="2418"/>
      <c r="D27" s="2418"/>
      <c r="E27" s="2418"/>
      <c r="F27" s="1791"/>
      <c r="G27" s="2418" t="s">
        <v>1621</v>
      </c>
      <c r="H27" s="2418"/>
      <c r="I27" s="2418"/>
      <c r="J27" s="1791"/>
      <c r="K27" s="2418" t="s">
        <v>1551</v>
      </c>
      <c r="L27" s="2418"/>
      <c r="M27" s="1122"/>
      <c r="N27" s="1122"/>
      <c r="O27" s="1122"/>
      <c r="P27" s="1122"/>
      <c r="Q27" s="1122"/>
      <c r="R27" s="1122"/>
      <c r="S27" s="1122"/>
      <c r="T27" s="1122"/>
      <c r="U27" s="1122"/>
      <c r="V27" s="1122"/>
      <c r="W27" s="1122"/>
    </row>
    <row r="28" spans="1:23">
      <c r="A28" s="1122"/>
      <c r="B28" s="823" t="s">
        <v>1536</v>
      </c>
      <c r="C28" s="583"/>
      <c r="D28" s="583"/>
      <c r="E28" s="584"/>
      <c r="F28" s="1791"/>
      <c r="G28" s="827" t="s">
        <v>1552</v>
      </c>
      <c r="H28" s="583"/>
      <c r="I28" s="584"/>
      <c r="J28" s="1791"/>
      <c r="K28" s="586" t="s">
        <v>1116</v>
      </c>
      <c r="L28" s="583"/>
      <c r="M28" s="1794"/>
      <c r="N28" s="1003" t="s">
        <v>1622</v>
      </c>
      <c r="O28" s="1122"/>
      <c r="P28" s="1122"/>
      <c r="Q28" s="1122"/>
      <c r="R28" s="1122"/>
      <c r="S28" s="1122"/>
      <c r="T28" s="1122"/>
      <c r="U28" s="1122"/>
      <c r="V28" s="1122"/>
      <c r="W28" s="1122"/>
    </row>
    <row r="29" spans="1:23">
      <c r="A29" s="1122"/>
      <c r="B29" s="588"/>
      <c r="C29" s="589"/>
      <c r="D29" s="589"/>
      <c r="E29" s="590"/>
      <c r="F29" s="1791"/>
      <c r="G29" s="828" t="s">
        <v>1553</v>
      </c>
      <c r="H29" s="589"/>
      <c r="I29" s="590"/>
      <c r="J29" s="1791"/>
      <c r="K29" s="796"/>
      <c r="L29" s="589"/>
      <c r="M29" s="1794"/>
      <c r="N29" s="997" t="s">
        <v>1710</v>
      </c>
      <c r="O29" s="1122"/>
      <c r="P29" s="1122"/>
      <c r="Q29" s="1122"/>
      <c r="R29" s="1122"/>
      <c r="S29" s="1122"/>
      <c r="T29" s="1122"/>
      <c r="U29" s="1122"/>
      <c r="V29" s="1122"/>
      <c r="W29" s="1122"/>
    </row>
    <row r="30" spans="1:23">
      <c r="A30" s="1122"/>
      <c r="B30" s="796"/>
      <c r="C30" s="589"/>
      <c r="D30" s="589"/>
      <c r="E30" s="590"/>
      <c r="F30" s="1791"/>
      <c r="G30" s="675"/>
      <c r="H30" s="589"/>
      <c r="I30" s="590"/>
      <c r="J30" s="1791"/>
      <c r="K30" s="591"/>
      <c r="L30" s="589"/>
      <c r="M30" s="1794"/>
      <c r="N30" s="997"/>
      <c r="O30" s="1122"/>
      <c r="P30" s="1122"/>
      <c r="Q30" s="1122"/>
      <c r="R30" s="1122"/>
      <c r="S30" s="1122"/>
      <c r="T30" s="1122"/>
      <c r="U30" s="1122"/>
      <c r="V30" s="1122"/>
      <c r="W30" s="1122"/>
    </row>
    <row r="31" spans="1:23">
      <c r="A31" s="1122"/>
      <c r="B31" s="796"/>
      <c r="C31" s="589"/>
      <c r="D31" s="589"/>
      <c r="E31" s="590"/>
      <c r="F31" s="1791"/>
      <c r="G31" s="796"/>
      <c r="H31" s="589"/>
      <c r="I31" s="829"/>
      <c r="J31" s="1791"/>
      <c r="K31" s="796"/>
      <c r="L31" s="589"/>
      <c r="M31" s="1794"/>
      <c r="N31" s="997"/>
      <c r="O31" s="1122"/>
      <c r="P31" s="1122"/>
      <c r="Q31" s="1122"/>
      <c r="R31" s="1122"/>
      <c r="S31" s="1122"/>
      <c r="T31" s="1122"/>
      <c r="U31" s="1122"/>
      <c r="V31" s="1122"/>
      <c r="W31" s="1122"/>
    </row>
    <row r="32" spans="1:23" ht="15.75">
      <c r="A32" s="1122"/>
      <c r="B32" s="850" t="s">
        <v>1537</v>
      </c>
      <c r="C32" s="589"/>
      <c r="D32" s="589"/>
      <c r="E32" s="590"/>
      <c r="F32" s="1791"/>
      <c r="G32" s="851" t="s">
        <v>1537</v>
      </c>
      <c r="H32" s="2414" t="s">
        <v>1812</v>
      </c>
      <c r="I32" s="2415"/>
      <c r="J32" s="1791"/>
      <c r="K32" s="796"/>
      <c r="L32" s="596"/>
      <c r="M32" s="1794"/>
      <c r="N32" s="995"/>
      <c r="O32" s="1122"/>
      <c r="P32" s="1122"/>
      <c r="Q32" s="1122"/>
      <c r="R32" s="1122"/>
      <c r="S32" s="1122"/>
      <c r="T32" s="1122"/>
      <c r="U32" s="1122"/>
      <c r="V32" s="1122"/>
      <c r="W32" s="1122"/>
    </row>
    <row r="33" spans="1:23" ht="15.75">
      <c r="A33" s="1122"/>
      <c r="B33" s="1807" t="s">
        <v>1538</v>
      </c>
      <c r="C33" s="824" t="s">
        <v>1539</v>
      </c>
      <c r="D33" s="589"/>
      <c r="E33" s="590"/>
      <c r="F33" s="1791"/>
      <c r="G33" s="1807" t="s">
        <v>1554</v>
      </c>
      <c r="H33" s="2412">
        <f>_xll.BView(G34,"updatetime")</f>
        <v>43389.586956018517</v>
      </c>
      <c r="I33" s="2413"/>
      <c r="J33" s="1791"/>
      <c r="K33" s="1808" t="s">
        <v>1554</v>
      </c>
      <c r="L33" s="1809">
        <v>42012</v>
      </c>
      <c r="M33" s="1794"/>
      <c r="N33" s="2047" t="s">
        <v>1932</v>
      </c>
      <c r="O33" s="1122"/>
      <c r="P33" s="1122"/>
      <c r="Q33" s="1122"/>
      <c r="R33" s="1122"/>
      <c r="S33" s="1122"/>
      <c r="T33" s="1122"/>
      <c r="U33" s="1122"/>
      <c r="V33" s="1122"/>
      <c r="W33" s="1122"/>
    </row>
    <row r="34" spans="1:23">
      <c r="A34" s="1122"/>
      <c r="B34" s="796"/>
      <c r="C34" s="824" t="s">
        <v>1540</v>
      </c>
      <c r="D34" s="589"/>
      <c r="E34" s="590"/>
      <c r="F34" s="1791"/>
      <c r="G34" s="830" t="str">
        <f>_xll.BCurveStrip(G33,"Curvedate=today")</f>
        <v>EUR.OIS:BLOOMBERG DC 35702</v>
      </c>
      <c r="H34" s="589"/>
      <c r="I34" s="590"/>
      <c r="J34" s="1791"/>
      <c r="K34" s="831" t="str">
        <f>_xll.BCurveStrip(K33,"CurveDate="&amp;L33)</f>
        <v>EUR.OIS:BLOOMBERG DC 943038</v>
      </c>
      <c r="L34" s="667"/>
      <c r="M34" s="1794"/>
      <c r="N34" s="1004"/>
      <c r="O34" s="1122"/>
      <c r="P34" s="1122"/>
      <c r="Q34" s="1122"/>
      <c r="R34" s="1122"/>
      <c r="S34" s="1122"/>
      <c r="T34" s="1122"/>
      <c r="U34" s="1122"/>
      <c r="V34" s="1122"/>
      <c r="W34" s="1122"/>
    </row>
    <row r="35" spans="1:23">
      <c r="A35" s="1122"/>
      <c r="B35" s="796"/>
      <c r="C35" s="589"/>
      <c r="D35" s="589"/>
      <c r="E35" s="590"/>
      <c r="F35" s="1791"/>
      <c r="G35" s="832" t="s">
        <v>1555</v>
      </c>
      <c r="H35" s="622"/>
      <c r="I35" s="590"/>
      <c r="J35" s="1791"/>
      <c r="K35" s="832" t="s">
        <v>1815</v>
      </c>
      <c r="L35" s="645"/>
      <c r="M35" s="1794"/>
      <c r="N35" s="1004"/>
      <c r="O35" s="1122"/>
      <c r="P35" s="1122"/>
      <c r="Q35" s="1122"/>
      <c r="R35" s="1122"/>
      <c r="S35" s="1122"/>
      <c r="T35" s="1122"/>
      <c r="U35" s="1122"/>
      <c r="V35" s="1122"/>
      <c r="W35" s="1122"/>
    </row>
    <row r="36" spans="1:23">
      <c r="A36" s="1122"/>
      <c r="B36" s="825" t="s">
        <v>1813</v>
      </c>
      <c r="C36" s="589"/>
      <c r="D36" s="589"/>
      <c r="E36" s="590"/>
      <c r="F36" s="1791"/>
      <c r="G36" s="796"/>
      <c r="H36" s="589"/>
      <c r="I36" s="590"/>
      <c r="J36" s="1791"/>
      <c r="K36" s="833"/>
      <c r="L36" s="645"/>
      <c r="M36" s="1794"/>
      <c r="N36" s="995"/>
      <c r="O36" s="1122"/>
      <c r="P36" s="1122"/>
      <c r="Q36" s="1122"/>
      <c r="R36" s="1122"/>
      <c r="S36" s="1122"/>
      <c r="T36" s="1122"/>
      <c r="U36" s="1122"/>
      <c r="V36" s="1122"/>
      <c r="W36" s="1122"/>
    </row>
    <row r="37" spans="1:23">
      <c r="A37" s="1122"/>
      <c r="B37" s="825" t="s">
        <v>1124</v>
      </c>
      <c r="C37" s="589"/>
      <c r="D37" s="589"/>
      <c r="E37" s="605"/>
      <c r="F37" s="1791"/>
      <c r="G37" s="834"/>
      <c r="H37" s="607"/>
      <c r="I37" s="658"/>
      <c r="J37" s="1791"/>
      <c r="K37" s="796"/>
      <c r="L37" s="645"/>
      <c r="M37" s="1794"/>
      <c r="N37" s="995"/>
      <c r="O37" s="1122"/>
      <c r="P37" s="1122"/>
      <c r="Q37" s="1122"/>
      <c r="R37" s="1122"/>
      <c r="S37" s="1122"/>
      <c r="T37" s="1122"/>
      <c r="U37" s="1122"/>
      <c r="V37" s="1122"/>
      <c r="W37" s="1122"/>
    </row>
    <row r="38" spans="1:23">
      <c r="A38" s="1122"/>
      <c r="B38" s="1001" t="str">
        <f>_xll.BCurve(B33,"CurveDate=Today","cols=4;rows=35")</f>
        <v>Term</v>
      </c>
      <c r="C38" s="719" t="s">
        <v>1129</v>
      </c>
      <c r="D38" s="719" t="s">
        <v>1130</v>
      </c>
      <c r="E38" s="1002" t="s">
        <v>1131</v>
      </c>
      <c r="F38" s="1791"/>
      <c r="G38" s="1394" t="s">
        <v>1711</v>
      </c>
      <c r="H38" s="1000" t="s">
        <v>1556</v>
      </c>
      <c r="I38" s="999" t="s">
        <v>1557</v>
      </c>
      <c r="J38" s="1791"/>
      <c r="K38" s="998" t="s">
        <v>1814</v>
      </c>
      <c r="L38" s="999" t="s">
        <v>1557</v>
      </c>
      <c r="M38" s="1794"/>
      <c r="N38" s="996"/>
      <c r="O38" s="1122"/>
      <c r="P38" s="1122"/>
      <c r="Q38" s="1122"/>
      <c r="R38" s="1122"/>
      <c r="S38" s="1122"/>
      <c r="T38" s="1122"/>
      <c r="U38" s="1122"/>
      <c r="V38" s="1122"/>
      <c r="W38" s="1122"/>
    </row>
    <row r="39" spans="1:23">
      <c r="A39" s="1122"/>
      <c r="B39" s="826" t="s">
        <v>1541</v>
      </c>
      <c r="C39" s="626" t="s">
        <v>1132</v>
      </c>
      <c r="D39" s="626">
        <v>-0.37</v>
      </c>
      <c r="E39" s="608">
        <v>-0.37</v>
      </c>
      <c r="F39" s="1791"/>
      <c r="G39" s="835">
        <f>_xll.BView(G34,"maturity,par.bid,zc.bid","cols=3;rows=34")</f>
        <v>43392</v>
      </c>
      <c r="H39" s="626">
        <v>-0.37</v>
      </c>
      <c r="I39" s="1005">
        <v>-0.37</v>
      </c>
      <c r="J39" s="1798"/>
      <c r="K39" s="836">
        <f>_xll.BView(K34,"maturity,zc."&amp;"Bid","cols=2;rows=34")</f>
        <v>42017</v>
      </c>
      <c r="L39" s="839">
        <v>-7.0000000000000007E-2</v>
      </c>
      <c r="M39" s="1795"/>
      <c r="N39" s="1009">
        <f>(I39-L39)*100</f>
        <v>-30</v>
      </c>
      <c r="O39" s="1122"/>
      <c r="P39" s="1122"/>
      <c r="Q39" s="1122"/>
      <c r="R39" s="1122"/>
      <c r="S39" s="1122"/>
      <c r="T39" s="1122"/>
      <c r="U39" s="1122"/>
      <c r="V39" s="1122"/>
      <c r="W39" s="1122"/>
    </row>
    <row r="40" spans="1:23">
      <c r="A40" s="1122"/>
      <c r="B40" s="826" t="s">
        <v>1542</v>
      </c>
      <c r="C40" s="626" t="s">
        <v>1138</v>
      </c>
      <c r="D40" s="626">
        <v>-0.37219000000000002</v>
      </c>
      <c r="E40" s="608">
        <v>-0.34881000000000001</v>
      </c>
      <c r="F40" s="1791"/>
      <c r="G40" s="837">
        <v>43406</v>
      </c>
      <c r="H40" s="626">
        <v>-0.37219000000000002</v>
      </c>
      <c r="I40" s="1005">
        <v>-0.37152000000000002</v>
      </c>
      <c r="J40" s="1798"/>
      <c r="K40" s="1006">
        <v>42031</v>
      </c>
      <c r="L40" s="839">
        <v>-7.9119999999999996E-2</v>
      </c>
      <c r="M40" s="1795"/>
      <c r="N40" s="1009">
        <f t="shared" ref="N40:N73" si="0">(I40-L40)*100</f>
        <v>-29.24</v>
      </c>
      <c r="O40" s="1122"/>
      <c r="P40" s="1122"/>
      <c r="Q40" s="1122"/>
      <c r="R40" s="1122"/>
      <c r="S40" s="1122"/>
      <c r="T40" s="1122"/>
      <c r="U40" s="1122"/>
      <c r="V40" s="1122"/>
      <c r="W40" s="1122"/>
    </row>
    <row r="41" spans="1:23">
      <c r="A41" s="1122"/>
      <c r="B41" s="826" t="s">
        <v>1135</v>
      </c>
      <c r="C41" s="626" t="s">
        <v>1138</v>
      </c>
      <c r="D41" s="626">
        <v>-0.36088999999999999</v>
      </c>
      <c r="E41" s="608">
        <v>-0.35710999999999998</v>
      </c>
      <c r="F41" s="1791"/>
      <c r="G41" s="837">
        <v>43424</v>
      </c>
      <c r="H41" s="626">
        <v>-0.36088999999999999</v>
      </c>
      <c r="I41" s="1005">
        <v>-0.36030000000000001</v>
      </c>
      <c r="J41" s="1798"/>
      <c r="K41" s="1006">
        <v>42048</v>
      </c>
      <c r="L41" s="839">
        <v>-4.7669999999999997E-2</v>
      </c>
      <c r="M41" s="1795"/>
      <c r="N41" s="1009">
        <f t="shared" si="0"/>
        <v>-31.263000000000002</v>
      </c>
      <c r="O41" s="1122"/>
      <c r="P41" s="1122"/>
      <c r="Q41" s="1122"/>
      <c r="R41" s="1122"/>
      <c r="S41" s="1122"/>
      <c r="T41" s="1122"/>
      <c r="U41" s="1122"/>
      <c r="V41" s="1122"/>
      <c r="W41" s="1122"/>
    </row>
    <row r="42" spans="1:23">
      <c r="A42" s="1122"/>
      <c r="B42" s="826" t="s">
        <v>1136</v>
      </c>
      <c r="C42" s="626" t="s">
        <v>1138</v>
      </c>
      <c r="D42" s="626">
        <v>-0.35946</v>
      </c>
      <c r="E42" s="608">
        <v>-0.35454000000000002</v>
      </c>
      <c r="F42" s="1791"/>
      <c r="G42" s="837">
        <v>43453</v>
      </c>
      <c r="H42" s="626">
        <v>-0.35946</v>
      </c>
      <c r="I42" s="1005">
        <v>-0.35893000000000003</v>
      </c>
      <c r="J42" s="1798"/>
      <c r="K42" s="1006">
        <v>42076</v>
      </c>
      <c r="L42" s="839">
        <v>-3.381E-2</v>
      </c>
      <c r="M42" s="1795"/>
      <c r="N42" s="1009">
        <f t="shared" si="0"/>
        <v>-32.512</v>
      </c>
      <c r="O42" s="1122"/>
      <c r="P42" s="1122"/>
      <c r="Q42" s="1122"/>
      <c r="R42" s="1122"/>
      <c r="S42" s="1122"/>
      <c r="T42" s="1122"/>
      <c r="U42" s="1122"/>
      <c r="V42" s="1122"/>
      <c r="W42" s="1122"/>
    </row>
    <row r="43" spans="1:23">
      <c r="A43" s="1122"/>
      <c r="B43" s="826" t="s">
        <v>1137</v>
      </c>
      <c r="C43" s="626" t="s">
        <v>1138</v>
      </c>
      <c r="D43" s="626">
        <v>-0.35793000000000003</v>
      </c>
      <c r="E43" s="608">
        <v>-0.35357</v>
      </c>
      <c r="F43" s="1791"/>
      <c r="G43" s="837">
        <v>43486</v>
      </c>
      <c r="H43" s="626">
        <v>-0.35793000000000003</v>
      </c>
      <c r="I43" s="1005">
        <v>-0.35744999999999999</v>
      </c>
      <c r="J43" s="1798"/>
      <c r="K43" s="1006">
        <v>42108</v>
      </c>
      <c r="L43" s="839">
        <v>-3.9989999999999998E-2</v>
      </c>
      <c r="M43" s="1795"/>
      <c r="N43" s="1009">
        <f t="shared" si="0"/>
        <v>-31.745999999999995</v>
      </c>
      <c r="O43" s="1122"/>
      <c r="P43" s="1122"/>
      <c r="Q43" s="1122"/>
      <c r="R43" s="1122"/>
      <c r="S43" s="1122"/>
      <c r="T43" s="1122"/>
      <c r="U43" s="1122"/>
      <c r="V43" s="1122"/>
      <c r="W43" s="1122"/>
    </row>
    <row r="44" spans="1:23">
      <c r="A44" s="1122"/>
      <c r="B44" s="826" t="s">
        <v>1185</v>
      </c>
      <c r="C44" s="626" t="s">
        <v>1138</v>
      </c>
      <c r="D44" s="626">
        <v>-0.35644999999999999</v>
      </c>
      <c r="E44" s="608">
        <v>-0.35165000000000002</v>
      </c>
      <c r="F44" s="1791"/>
      <c r="G44" s="837">
        <v>43515</v>
      </c>
      <c r="H44" s="626">
        <v>-0.35644999999999999</v>
      </c>
      <c r="I44" s="1005">
        <v>-0.35603000000000001</v>
      </c>
      <c r="J44" s="1798"/>
      <c r="K44" s="1006">
        <v>42137</v>
      </c>
      <c r="L44" s="839">
        <v>-5.1670000000000001E-2</v>
      </c>
      <c r="M44" s="1795"/>
      <c r="N44" s="1009">
        <f t="shared" si="0"/>
        <v>-30.436000000000003</v>
      </c>
      <c r="O44" s="1122"/>
      <c r="P44" s="1122"/>
      <c r="Q44" s="1122"/>
      <c r="R44" s="1122"/>
      <c r="S44" s="1122"/>
      <c r="T44" s="1122"/>
      <c r="U44" s="1122"/>
      <c r="V44" s="1122"/>
      <c r="W44" s="1122"/>
    </row>
    <row r="45" spans="1:23">
      <c r="A45" s="1122"/>
      <c r="B45" s="826" t="s">
        <v>1186</v>
      </c>
      <c r="C45" s="626" t="s">
        <v>1138</v>
      </c>
      <c r="D45" s="626">
        <v>-0.35582999999999998</v>
      </c>
      <c r="E45" s="608">
        <v>-0.35166999999999998</v>
      </c>
      <c r="F45" s="1791"/>
      <c r="G45" s="837">
        <v>43543</v>
      </c>
      <c r="H45" s="626">
        <v>-0.35582999999999998</v>
      </c>
      <c r="I45" s="1005">
        <v>-0.35546</v>
      </c>
      <c r="J45" s="1798"/>
      <c r="K45" s="1006">
        <v>42170</v>
      </c>
      <c r="L45" s="839">
        <v>-5.4199999999999998E-2</v>
      </c>
      <c r="M45" s="1795"/>
      <c r="N45" s="1009">
        <f t="shared" si="0"/>
        <v>-30.125999999999998</v>
      </c>
      <c r="O45" s="1122"/>
      <c r="P45" s="1122"/>
      <c r="Q45" s="1122"/>
      <c r="R45" s="1122"/>
      <c r="S45" s="1122"/>
      <c r="T45" s="1122"/>
      <c r="U45" s="1122"/>
      <c r="V45" s="1122"/>
      <c r="W45" s="1122"/>
    </row>
    <row r="46" spans="1:23">
      <c r="A46" s="1122"/>
      <c r="B46" s="801" t="s">
        <v>1187</v>
      </c>
      <c r="C46" s="626" t="s">
        <v>1138</v>
      </c>
      <c r="D46" s="626">
        <v>-0.35377999999999998</v>
      </c>
      <c r="E46" s="608">
        <v>-0.34952</v>
      </c>
      <c r="F46" s="1791"/>
      <c r="G46" s="837">
        <v>43578</v>
      </c>
      <c r="H46" s="626">
        <v>-0.35377999999999998</v>
      </c>
      <c r="I46" s="1005">
        <v>-0.35347000000000001</v>
      </c>
      <c r="J46" s="1798"/>
      <c r="K46" s="1006">
        <v>42199</v>
      </c>
      <c r="L46" s="839">
        <v>-6.837E-2</v>
      </c>
      <c r="M46" s="1795"/>
      <c r="N46" s="1009">
        <f t="shared" si="0"/>
        <v>-28.51</v>
      </c>
      <c r="O46" s="1122"/>
      <c r="P46" s="1122"/>
      <c r="Q46" s="1122"/>
      <c r="R46" s="1122"/>
      <c r="S46" s="1122"/>
      <c r="T46" s="1122"/>
      <c r="U46" s="1122"/>
      <c r="V46" s="1122"/>
      <c r="W46" s="1122"/>
    </row>
    <row r="47" spans="1:23">
      <c r="A47" s="1122"/>
      <c r="B47" s="801" t="s">
        <v>1543</v>
      </c>
      <c r="C47" s="626" t="s">
        <v>1138</v>
      </c>
      <c r="D47" s="626">
        <v>-0.35425000000000001</v>
      </c>
      <c r="E47" s="608">
        <v>-0.34875</v>
      </c>
      <c r="F47" s="1791"/>
      <c r="G47" s="837">
        <v>43606</v>
      </c>
      <c r="H47" s="626">
        <v>-0.35425000000000001</v>
      </c>
      <c r="I47" s="1005">
        <v>-0.35399999999999998</v>
      </c>
      <c r="J47" s="1798"/>
      <c r="K47" s="1006">
        <v>42229</v>
      </c>
      <c r="L47" s="839">
        <v>-7.1529999999999996E-2</v>
      </c>
      <c r="M47" s="1795"/>
      <c r="N47" s="1009">
        <f t="shared" si="0"/>
        <v>-28.247</v>
      </c>
      <c r="O47" s="1122"/>
      <c r="P47" s="1122"/>
      <c r="Q47" s="1122"/>
      <c r="R47" s="1122"/>
      <c r="S47" s="1122"/>
      <c r="T47" s="1122"/>
      <c r="U47" s="1122"/>
      <c r="V47" s="1122"/>
      <c r="W47" s="1122"/>
    </row>
    <row r="48" spans="1:23">
      <c r="A48" s="1122"/>
      <c r="B48" s="801" t="s">
        <v>1544</v>
      </c>
      <c r="C48" s="626" t="s">
        <v>1138</v>
      </c>
      <c r="D48" s="626">
        <v>-0.35224</v>
      </c>
      <c r="E48" s="608">
        <v>-0.34805999999999998</v>
      </c>
      <c r="F48" s="1791"/>
      <c r="G48" s="837">
        <v>43635</v>
      </c>
      <c r="H48" s="626">
        <v>-0.35224</v>
      </c>
      <c r="I48" s="1005">
        <v>-0.35204000000000002</v>
      </c>
      <c r="J48" s="1798"/>
      <c r="K48" s="1006">
        <v>42262</v>
      </c>
      <c r="L48" s="839">
        <v>-7.4980000000000005E-2</v>
      </c>
      <c r="M48" s="1795"/>
      <c r="N48" s="1009">
        <f t="shared" si="0"/>
        <v>-27.706000000000003</v>
      </c>
      <c r="O48" s="1122"/>
      <c r="P48" s="1122"/>
      <c r="Q48" s="1122"/>
      <c r="R48" s="1122"/>
      <c r="S48" s="1122"/>
      <c r="T48" s="1122"/>
      <c r="U48" s="1122"/>
      <c r="V48" s="1122"/>
      <c r="W48" s="1122"/>
    </row>
    <row r="49" spans="1:23">
      <c r="A49" s="1122"/>
      <c r="B49" s="801" t="s">
        <v>1545</v>
      </c>
      <c r="C49" s="626" t="s">
        <v>1138</v>
      </c>
      <c r="D49" s="626">
        <v>-0.35302</v>
      </c>
      <c r="E49" s="608">
        <v>-0.34698000000000001</v>
      </c>
      <c r="F49" s="1791"/>
      <c r="G49" s="837">
        <v>43665</v>
      </c>
      <c r="H49" s="626">
        <v>-0.35302</v>
      </c>
      <c r="I49" s="1005">
        <v>-0.35287000000000002</v>
      </c>
      <c r="J49" s="1799"/>
      <c r="K49" s="1006">
        <v>42290</v>
      </c>
      <c r="L49" s="839">
        <v>-7.3760000000000006E-2</v>
      </c>
      <c r="M49" s="1795"/>
      <c r="N49" s="1009">
        <f t="shared" si="0"/>
        <v>-27.911000000000001</v>
      </c>
      <c r="O49" s="1122"/>
      <c r="P49" s="1122"/>
      <c r="Q49" s="1122"/>
      <c r="R49" s="1122"/>
      <c r="S49" s="1122"/>
      <c r="T49" s="1122"/>
      <c r="U49" s="1122"/>
      <c r="V49" s="1122"/>
      <c r="W49" s="1122"/>
    </row>
    <row r="50" spans="1:23">
      <c r="A50" s="1122"/>
      <c r="B50" s="801" t="s">
        <v>1546</v>
      </c>
      <c r="C50" s="626" t="s">
        <v>1138</v>
      </c>
      <c r="D50" s="626">
        <v>-0.35309000000000001</v>
      </c>
      <c r="E50" s="608">
        <v>-0.34490999999999999</v>
      </c>
      <c r="F50" s="1791"/>
      <c r="G50" s="837">
        <v>43697</v>
      </c>
      <c r="H50" s="626">
        <v>-0.35309000000000001</v>
      </c>
      <c r="I50" s="1005">
        <v>-0.35299999999999998</v>
      </c>
      <c r="J50" s="1799"/>
      <c r="K50" s="1006">
        <v>42321</v>
      </c>
      <c r="L50" s="839">
        <v>-7.8820000000000001E-2</v>
      </c>
      <c r="M50" s="1795"/>
      <c r="N50" s="1009">
        <f t="shared" si="0"/>
        <v>-27.417999999999999</v>
      </c>
      <c r="O50" s="1122"/>
      <c r="P50" s="1122"/>
      <c r="Q50" s="1122"/>
      <c r="R50" s="1122"/>
      <c r="S50" s="1122"/>
      <c r="T50" s="1122"/>
      <c r="U50" s="1122"/>
      <c r="V50" s="1122"/>
      <c r="W50" s="1122"/>
    </row>
    <row r="51" spans="1:23">
      <c r="A51" s="1122"/>
      <c r="B51" s="801" t="s">
        <v>1547</v>
      </c>
      <c r="C51" s="626" t="s">
        <v>1138</v>
      </c>
      <c r="D51" s="626">
        <v>-0.35045999999999999</v>
      </c>
      <c r="E51" s="608">
        <v>-0.34354000000000001</v>
      </c>
      <c r="F51" s="1791"/>
      <c r="G51" s="837">
        <v>43727</v>
      </c>
      <c r="H51" s="626">
        <v>-0.35045999999999999</v>
      </c>
      <c r="I51" s="1005">
        <v>-0.35042000000000001</v>
      </c>
      <c r="J51" s="1800"/>
      <c r="K51" s="1006">
        <v>42353</v>
      </c>
      <c r="L51" s="839">
        <v>-7.7060000000000003E-2</v>
      </c>
      <c r="M51" s="1795"/>
      <c r="N51" s="1009">
        <f t="shared" si="0"/>
        <v>-27.335999999999999</v>
      </c>
      <c r="O51" s="1122"/>
      <c r="P51" s="1122"/>
      <c r="Q51" s="1122"/>
      <c r="R51" s="1122"/>
      <c r="S51" s="1122"/>
      <c r="T51" s="1122"/>
      <c r="U51" s="1122"/>
      <c r="V51" s="1122"/>
      <c r="W51" s="1122"/>
    </row>
    <row r="52" spans="1:23">
      <c r="A52" s="1122"/>
      <c r="B52" s="801" t="s">
        <v>1548</v>
      </c>
      <c r="C52" s="626" t="s">
        <v>1138</v>
      </c>
      <c r="D52" s="626">
        <v>-0.34282000000000001</v>
      </c>
      <c r="E52" s="608">
        <v>-0.33817999999999998</v>
      </c>
      <c r="F52" s="1801"/>
      <c r="G52" s="837">
        <v>43759</v>
      </c>
      <c r="H52" s="626">
        <v>-0.34282000000000001</v>
      </c>
      <c r="I52" s="1005">
        <v>-0.34283000000000002</v>
      </c>
      <c r="J52" s="1800"/>
      <c r="K52" s="1006">
        <v>42382</v>
      </c>
      <c r="L52" s="839">
        <v>-7.9960000000000003E-2</v>
      </c>
      <c r="M52" s="1795"/>
      <c r="N52" s="1009">
        <f t="shared" si="0"/>
        <v>-26.287000000000006</v>
      </c>
      <c r="O52" s="1122"/>
      <c r="P52" s="1122"/>
      <c r="Q52" s="1122"/>
      <c r="R52" s="1122"/>
      <c r="S52" s="1122"/>
      <c r="T52" s="1122"/>
      <c r="U52" s="1122"/>
      <c r="V52" s="1122"/>
      <c r="W52" s="1122"/>
    </row>
    <row r="53" spans="1:23">
      <c r="A53" s="1122"/>
      <c r="B53" s="801" t="s">
        <v>1549</v>
      </c>
      <c r="C53" s="626" t="s">
        <v>1138</v>
      </c>
      <c r="D53" s="626">
        <v>-0.29546</v>
      </c>
      <c r="E53" s="608">
        <v>-0.28874</v>
      </c>
      <c r="F53" s="1802"/>
      <c r="G53" s="837">
        <v>43942</v>
      </c>
      <c r="H53" s="626">
        <v>-0.29552</v>
      </c>
      <c r="I53" s="1005">
        <v>-0.29548999999999997</v>
      </c>
      <c r="J53" s="1800"/>
      <c r="K53" s="1006">
        <v>42564</v>
      </c>
      <c r="L53" s="839">
        <v>-8.7169999999999997E-2</v>
      </c>
      <c r="M53" s="1795"/>
      <c r="N53" s="1009">
        <f t="shared" si="0"/>
        <v>-20.831999999999997</v>
      </c>
      <c r="O53" s="1122"/>
      <c r="P53" s="1122"/>
      <c r="Q53" s="1122"/>
      <c r="R53" s="1122"/>
      <c r="S53" s="1122"/>
      <c r="T53" s="1122"/>
      <c r="U53" s="1122"/>
      <c r="V53" s="1122"/>
      <c r="W53" s="1122"/>
    </row>
    <row r="54" spans="1:23">
      <c r="A54" s="1122"/>
      <c r="B54" s="801" t="s">
        <v>1207</v>
      </c>
      <c r="C54" s="626" t="s">
        <v>1138</v>
      </c>
      <c r="D54" s="626">
        <v>-0.22747000000000001</v>
      </c>
      <c r="E54" s="608">
        <v>-0.21873000000000001</v>
      </c>
      <c r="F54" s="1801"/>
      <c r="G54" s="837">
        <v>44124</v>
      </c>
      <c r="H54" s="626">
        <v>-0.22747000000000001</v>
      </c>
      <c r="I54" s="1005">
        <v>-0.22761000000000001</v>
      </c>
      <c r="J54" s="1800"/>
      <c r="K54" s="1006">
        <v>42748</v>
      </c>
      <c r="L54" s="839">
        <v>-8.7800000000000003E-2</v>
      </c>
      <c r="M54" s="1795"/>
      <c r="N54" s="1009">
        <f t="shared" si="0"/>
        <v>-13.980999999999998</v>
      </c>
      <c r="O54" s="1122"/>
      <c r="P54" s="1122"/>
      <c r="Q54" s="1122"/>
      <c r="R54" s="1122"/>
      <c r="S54" s="1122"/>
      <c r="T54" s="1122"/>
      <c r="U54" s="1122"/>
      <c r="V54" s="1122"/>
      <c r="W54" s="1122"/>
    </row>
    <row r="55" spans="1:23">
      <c r="A55" s="1122"/>
      <c r="B55" s="801" t="s">
        <v>1550</v>
      </c>
      <c r="C55" s="626" t="s">
        <v>1138</v>
      </c>
      <c r="D55" s="626">
        <v>-0.14710999999999999</v>
      </c>
      <c r="E55" s="608">
        <v>-0.13988999999999999</v>
      </c>
      <c r="F55" s="1801"/>
      <c r="G55" s="837">
        <v>44306</v>
      </c>
      <c r="H55" s="626">
        <v>-0.14715</v>
      </c>
      <c r="I55" s="1005">
        <v>-0.14731</v>
      </c>
      <c r="J55" s="1800"/>
      <c r="K55" s="1006">
        <v>42929</v>
      </c>
      <c r="L55" s="839">
        <v>-7.9140000000000002E-2</v>
      </c>
      <c r="M55" s="1795"/>
      <c r="N55" s="1009">
        <f t="shared" si="0"/>
        <v>-6.8169999999999993</v>
      </c>
      <c r="O55" s="1122"/>
      <c r="P55" s="1122"/>
      <c r="Q55" s="1122"/>
      <c r="R55" s="1122"/>
      <c r="S55" s="1122"/>
      <c r="T55" s="1122"/>
      <c r="U55" s="1122"/>
      <c r="V55" s="1122"/>
      <c r="W55" s="1122"/>
    </row>
    <row r="56" spans="1:23">
      <c r="A56" s="1122"/>
      <c r="B56" s="801" t="s">
        <v>1139</v>
      </c>
      <c r="C56" s="626" t="s">
        <v>1138</v>
      </c>
      <c r="D56" s="626">
        <v>-6.6549999999999998E-2</v>
      </c>
      <c r="E56" s="608">
        <v>-5.5449999999999999E-2</v>
      </c>
      <c r="F56" s="1801"/>
      <c r="G56" s="837">
        <v>44488</v>
      </c>
      <c r="H56" s="626">
        <v>-6.6549999999999998E-2</v>
      </c>
      <c r="I56" s="1005">
        <v>-6.6680000000000003E-2</v>
      </c>
      <c r="J56" s="1800"/>
      <c r="K56" s="1006">
        <v>43115</v>
      </c>
      <c r="L56" s="839">
        <v>-7.8920000000000004E-2</v>
      </c>
      <c r="M56" s="1795"/>
      <c r="N56" s="1009">
        <f t="shared" si="0"/>
        <v>1.2240000000000002</v>
      </c>
      <c r="O56" s="1122"/>
      <c r="P56" s="1122"/>
      <c r="Q56" s="1122"/>
      <c r="R56" s="1122"/>
      <c r="S56" s="1122"/>
      <c r="T56" s="1122"/>
      <c r="U56" s="1122"/>
      <c r="V56" s="1122"/>
      <c r="W56" s="1122"/>
    </row>
    <row r="57" spans="1:23">
      <c r="A57" s="1122"/>
      <c r="B57" s="801" t="s">
        <v>1140</v>
      </c>
      <c r="C57" s="626" t="s">
        <v>1138</v>
      </c>
      <c r="D57" s="626">
        <v>9.7809999999999994E-2</v>
      </c>
      <c r="E57" s="608">
        <v>0.10419</v>
      </c>
      <c r="F57" s="1801"/>
      <c r="G57" s="837">
        <v>44853</v>
      </c>
      <c r="H57" s="626">
        <v>9.7809999999999994E-2</v>
      </c>
      <c r="I57" s="1005">
        <v>9.8210000000000006E-2</v>
      </c>
      <c r="J57" s="1800"/>
      <c r="K57" s="1006">
        <v>43480</v>
      </c>
      <c r="L57" s="839">
        <v>-4.4139999999999999E-2</v>
      </c>
      <c r="M57" s="1795"/>
      <c r="N57" s="1009">
        <f t="shared" si="0"/>
        <v>14.235000000000001</v>
      </c>
      <c r="O57" s="1122"/>
      <c r="P57" s="1122"/>
      <c r="Q57" s="1122"/>
      <c r="R57" s="1122"/>
      <c r="S57" s="1122"/>
      <c r="T57" s="1122"/>
      <c r="U57" s="1122"/>
      <c r="V57" s="1122"/>
      <c r="W57" s="1122"/>
    </row>
    <row r="58" spans="1:23">
      <c r="A58" s="1122"/>
      <c r="B58" s="801" t="s">
        <v>1141</v>
      </c>
      <c r="C58" s="626" t="s">
        <v>1138</v>
      </c>
      <c r="D58" s="626">
        <v>0.24609</v>
      </c>
      <c r="E58" s="608">
        <v>0.25990999999999997</v>
      </c>
      <c r="F58" s="1801"/>
      <c r="G58" s="837">
        <v>45218</v>
      </c>
      <c r="H58" s="626">
        <v>0.24609</v>
      </c>
      <c r="I58" s="1005">
        <v>0.24762999999999999</v>
      </c>
      <c r="J58" s="1800"/>
      <c r="K58" s="1006">
        <v>43844</v>
      </c>
      <c r="L58" s="839">
        <v>1.2930000000000001E-2</v>
      </c>
      <c r="M58" s="1795"/>
      <c r="N58" s="1009">
        <f t="shared" si="0"/>
        <v>23.47</v>
      </c>
      <c r="O58" s="1122"/>
      <c r="P58" s="1122"/>
      <c r="Q58" s="1122"/>
      <c r="R58" s="1122"/>
      <c r="S58" s="1122"/>
      <c r="T58" s="1122"/>
      <c r="U58" s="1122"/>
      <c r="V58" s="1122"/>
      <c r="W58" s="1122"/>
    </row>
    <row r="59" spans="1:23">
      <c r="A59" s="1122"/>
      <c r="B59" s="801" t="s">
        <v>1142</v>
      </c>
      <c r="C59" s="626" t="s">
        <v>1138</v>
      </c>
      <c r="D59" s="626">
        <v>0.37314999999999998</v>
      </c>
      <c r="E59" s="608">
        <v>0.41485</v>
      </c>
      <c r="F59" s="1801"/>
      <c r="G59" s="837">
        <v>45586</v>
      </c>
      <c r="H59" s="626">
        <v>0.37314999999999998</v>
      </c>
      <c r="I59" s="1005">
        <v>0.37631999999999999</v>
      </c>
      <c r="J59" s="1800"/>
      <c r="K59" s="1006">
        <v>44209</v>
      </c>
      <c r="L59" s="839">
        <v>8.6470000000000005E-2</v>
      </c>
      <c r="M59" s="1795"/>
      <c r="N59" s="1009">
        <f t="shared" si="0"/>
        <v>28.984999999999999</v>
      </c>
      <c r="O59" s="1122"/>
      <c r="P59" s="1122"/>
      <c r="Q59" s="1122"/>
      <c r="R59" s="1122"/>
      <c r="S59" s="1122"/>
      <c r="T59" s="1122"/>
      <c r="U59" s="1122"/>
      <c r="V59" s="1122"/>
      <c r="W59" s="1122"/>
    </row>
    <row r="60" spans="1:23">
      <c r="A60" s="1122"/>
      <c r="B60" s="801" t="s">
        <v>1143</v>
      </c>
      <c r="C60" s="626" t="s">
        <v>1138</v>
      </c>
      <c r="D60" s="626">
        <v>0.51793</v>
      </c>
      <c r="E60" s="608">
        <v>0.53007000000000004</v>
      </c>
      <c r="F60" s="1801"/>
      <c r="G60" s="837">
        <v>45951</v>
      </c>
      <c r="H60" s="626">
        <v>0.51793999999999996</v>
      </c>
      <c r="I60" s="1005">
        <v>0.52405000000000002</v>
      </c>
      <c r="J60" s="1800"/>
      <c r="K60" s="1006">
        <v>44574</v>
      </c>
      <c r="L60" s="839">
        <v>0.17083000000000001</v>
      </c>
      <c r="M60" s="1795"/>
      <c r="N60" s="1009">
        <f t="shared" si="0"/>
        <v>35.321999999999996</v>
      </c>
      <c r="O60" s="1122"/>
      <c r="P60" s="1122"/>
      <c r="Q60" s="1122"/>
      <c r="R60" s="1122"/>
      <c r="S60" s="1122"/>
      <c r="T60" s="1122"/>
      <c r="U60" s="1122"/>
      <c r="V60" s="1122"/>
      <c r="W60" s="1122"/>
    </row>
    <row r="61" spans="1:23">
      <c r="A61" s="1122"/>
      <c r="B61" s="801" t="s">
        <v>1144</v>
      </c>
      <c r="C61" s="626" t="s">
        <v>1138</v>
      </c>
      <c r="D61" s="626">
        <v>0.63785000000000003</v>
      </c>
      <c r="E61" s="608">
        <v>0.65015000000000001</v>
      </c>
      <c r="F61" s="1801"/>
      <c r="G61" s="837">
        <v>46315</v>
      </c>
      <c r="H61" s="626">
        <v>0.63785999999999998</v>
      </c>
      <c r="I61" s="1005">
        <v>0.64727000000000001</v>
      </c>
      <c r="J61" s="1800"/>
      <c r="K61" s="1006">
        <v>44939</v>
      </c>
      <c r="L61" s="839">
        <v>0.26096000000000003</v>
      </c>
      <c r="M61" s="1795"/>
      <c r="N61" s="1009">
        <f t="shared" si="0"/>
        <v>38.631</v>
      </c>
      <c r="O61" s="1122"/>
      <c r="P61" s="1122"/>
      <c r="Q61" s="1122"/>
      <c r="R61" s="1122"/>
      <c r="S61" s="1122"/>
      <c r="T61" s="1122"/>
      <c r="U61" s="1122"/>
      <c r="V61" s="1122"/>
      <c r="W61" s="1122"/>
    </row>
    <row r="62" spans="1:23">
      <c r="A62" s="1122"/>
      <c r="B62" s="801" t="s">
        <v>1145</v>
      </c>
      <c r="C62" s="626" t="s">
        <v>1138</v>
      </c>
      <c r="D62" s="626">
        <v>0.73358999999999996</v>
      </c>
      <c r="E62" s="608">
        <v>0.77041000000000004</v>
      </c>
      <c r="F62" s="1801"/>
      <c r="G62" s="837">
        <v>46679</v>
      </c>
      <c r="H62" s="626">
        <v>0.73358999999999996</v>
      </c>
      <c r="I62" s="1005">
        <v>0.74621000000000004</v>
      </c>
      <c r="J62" s="1803"/>
      <c r="K62" s="1006">
        <v>45306</v>
      </c>
      <c r="L62" s="839">
        <v>0.35359000000000002</v>
      </c>
      <c r="M62" s="1795"/>
      <c r="N62" s="1009">
        <f t="shared" si="0"/>
        <v>39.262</v>
      </c>
      <c r="O62" s="1122"/>
      <c r="P62" s="1122"/>
      <c r="Q62" s="1122"/>
      <c r="R62" s="1122"/>
      <c r="S62" s="1122"/>
      <c r="T62" s="1122"/>
      <c r="U62" s="1122"/>
      <c r="V62" s="1122"/>
      <c r="W62" s="1122"/>
    </row>
    <row r="63" spans="1:23">
      <c r="A63" s="1122"/>
      <c r="B63" s="801" t="s">
        <v>1146</v>
      </c>
      <c r="C63" s="626" t="s">
        <v>1138</v>
      </c>
      <c r="D63" s="626">
        <v>0.83765999999999996</v>
      </c>
      <c r="E63" s="608">
        <v>0.86434</v>
      </c>
      <c r="F63" s="1801"/>
      <c r="G63" s="837">
        <v>47045</v>
      </c>
      <c r="H63" s="626">
        <v>0.83765999999999996</v>
      </c>
      <c r="I63" s="1005">
        <v>0.85485</v>
      </c>
      <c r="J63" s="1800"/>
      <c r="K63" s="1006">
        <v>45671</v>
      </c>
      <c r="L63" s="839">
        <v>0.44046999999999997</v>
      </c>
      <c r="M63" s="1795"/>
      <c r="N63" s="1009">
        <f t="shared" si="0"/>
        <v>41.438000000000002</v>
      </c>
      <c r="O63" s="1122"/>
      <c r="P63" s="1122"/>
      <c r="Q63" s="1122"/>
      <c r="R63" s="1122"/>
      <c r="S63" s="1122"/>
      <c r="T63" s="1122"/>
      <c r="U63" s="1122"/>
      <c r="V63" s="1122"/>
      <c r="W63" s="1122"/>
    </row>
    <row r="64" spans="1:23">
      <c r="A64" s="1122"/>
      <c r="B64" s="801" t="s">
        <v>1147</v>
      </c>
      <c r="C64" s="626" t="s">
        <v>1138</v>
      </c>
      <c r="D64" s="626">
        <v>0.93616999999999995</v>
      </c>
      <c r="E64" s="608">
        <v>0.94582999999999995</v>
      </c>
      <c r="F64" s="1801"/>
      <c r="G64" s="837">
        <v>47410</v>
      </c>
      <c r="H64" s="626">
        <v>0.93616999999999995</v>
      </c>
      <c r="I64" s="1005">
        <v>0.95865999999999996</v>
      </c>
      <c r="J64" s="1800"/>
      <c r="K64" s="1006">
        <v>46035</v>
      </c>
      <c r="L64" s="839">
        <v>0.52671999999999997</v>
      </c>
      <c r="M64" s="1795"/>
      <c r="N64" s="1009">
        <f t="shared" si="0"/>
        <v>43.194000000000003</v>
      </c>
      <c r="O64" s="1122"/>
      <c r="P64" s="1122"/>
      <c r="Q64" s="1122"/>
      <c r="R64" s="1122"/>
      <c r="S64" s="1122"/>
      <c r="T64" s="1122"/>
      <c r="U64" s="1122"/>
      <c r="V64" s="1122"/>
      <c r="W64" s="1122"/>
    </row>
    <row r="65" spans="1:23">
      <c r="A65" s="1122"/>
      <c r="B65" s="801" t="s">
        <v>1148</v>
      </c>
      <c r="C65" s="626" t="s">
        <v>1138</v>
      </c>
      <c r="D65" s="626">
        <v>1.0051699999999999</v>
      </c>
      <c r="E65" s="608">
        <v>1.0308299999999999</v>
      </c>
      <c r="F65" s="1801"/>
      <c r="G65" s="837">
        <v>47777</v>
      </c>
      <c r="H65" s="626">
        <v>1.0051699999999999</v>
      </c>
      <c r="I65" s="1005">
        <v>1.0315099999999999</v>
      </c>
      <c r="J65" s="1800"/>
      <c r="K65" s="1006">
        <v>46400</v>
      </c>
      <c r="L65" s="839">
        <v>0.59496000000000004</v>
      </c>
      <c r="M65" s="1795"/>
      <c r="N65" s="1009">
        <f t="shared" si="0"/>
        <v>43.654999999999987</v>
      </c>
      <c r="O65" s="1122"/>
      <c r="P65" s="1122"/>
      <c r="Q65" s="1122"/>
      <c r="R65" s="1122"/>
      <c r="S65" s="1122"/>
      <c r="T65" s="1122"/>
      <c r="U65" s="1122"/>
      <c r="V65" s="1122"/>
      <c r="W65" s="1122"/>
    </row>
    <row r="66" spans="1:23">
      <c r="A66" s="1122"/>
      <c r="B66" s="801" t="s">
        <v>1149</v>
      </c>
      <c r="C66" s="626" t="s">
        <v>1138</v>
      </c>
      <c r="D66" s="626">
        <v>1.1876</v>
      </c>
      <c r="E66" s="608">
        <v>1.2103999999999999</v>
      </c>
      <c r="F66" s="1801"/>
      <c r="G66" s="837">
        <v>48871</v>
      </c>
      <c r="H66" s="626">
        <v>1.1876</v>
      </c>
      <c r="I66" s="1005">
        <v>1.22715</v>
      </c>
      <c r="J66" s="1800"/>
      <c r="K66" s="1006">
        <v>47498</v>
      </c>
      <c r="L66" s="839">
        <v>0.77715000000000001</v>
      </c>
      <c r="M66" s="1795"/>
      <c r="N66" s="1009">
        <f t="shared" si="0"/>
        <v>44.999999999999993</v>
      </c>
      <c r="O66" s="1122"/>
      <c r="P66" s="1122"/>
      <c r="Q66" s="1122"/>
      <c r="R66" s="1122"/>
      <c r="S66" s="1122"/>
      <c r="T66" s="1122"/>
      <c r="U66" s="1122"/>
      <c r="V66" s="1122"/>
      <c r="W66" s="1122"/>
    </row>
    <row r="67" spans="1:23">
      <c r="A67" s="1122"/>
      <c r="B67" s="801" t="s">
        <v>1150</v>
      </c>
      <c r="C67" s="626" t="s">
        <v>1138</v>
      </c>
      <c r="D67" s="626">
        <v>1.3551200000000001</v>
      </c>
      <c r="E67" s="608">
        <v>1.3648800000000001</v>
      </c>
      <c r="F67" s="1801"/>
      <c r="G67" s="837">
        <v>50697</v>
      </c>
      <c r="H67" s="626">
        <v>1.3551200000000001</v>
      </c>
      <c r="I67" s="1005">
        <v>1.40893</v>
      </c>
      <c r="J67" s="1800"/>
      <c r="K67" s="1006">
        <v>49324</v>
      </c>
      <c r="L67" s="839">
        <v>0.98692000000000002</v>
      </c>
      <c r="M67" s="1795"/>
      <c r="N67" s="1009">
        <f t="shared" si="0"/>
        <v>42.201000000000001</v>
      </c>
      <c r="O67" s="1122"/>
      <c r="P67" s="1122"/>
      <c r="Q67" s="1122"/>
      <c r="R67" s="1122"/>
      <c r="S67" s="1122"/>
      <c r="T67" s="1122"/>
      <c r="U67" s="1122"/>
      <c r="V67" s="1122"/>
      <c r="W67" s="1122"/>
    </row>
    <row r="68" spans="1:23">
      <c r="A68" s="1122"/>
      <c r="B68" s="801" t="s">
        <v>1151</v>
      </c>
      <c r="C68" s="626" t="s">
        <v>1138</v>
      </c>
      <c r="D68" s="626">
        <v>1.4109400000000001</v>
      </c>
      <c r="E68" s="608">
        <v>1.42106</v>
      </c>
      <c r="F68" s="1801"/>
      <c r="G68" s="837">
        <v>52524</v>
      </c>
      <c r="H68" s="626">
        <v>1.4109400000000001</v>
      </c>
      <c r="I68" s="1005">
        <v>1.4653099999999999</v>
      </c>
      <c r="J68" s="1800"/>
      <c r="K68" s="1006">
        <v>51148</v>
      </c>
      <c r="L68" s="839">
        <v>1.11277</v>
      </c>
      <c r="M68" s="1795"/>
      <c r="N68" s="1009">
        <f t="shared" si="0"/>
        <v>35.253999999999984</v>
      </c>
      <c r="O68" s="1122"/>
      <c r="P68" s="1122"/>
      <c r="Q68" s="1122"/>
      <c r="R68" s="1122"/>
      <c r="S68" s="1122"/>
      <c r="T68" s="1122"/>
      <c r="U68" s="1122"/>
      <c r="V68" s="1122"/>
      <c r="W68" s="1122"/>
    </row>
    <row r="69" spans="1:23">
      <c r="A69" s="1122"/>
      <c r="B69" s="801" t="s">
        <v>1152</v>
      </c>
      <c r="C69" s="626" t="s">
        <v>1138</v>
      </c>
      <c r="D69" s="626">
        <v>1.41923</v>
      </c>
      <c r="E69" s="608">
        <v>1.4467699999999999</v>
      </c>
      <c r="F69" s="1801"/>
      <c r="G69" s="837">
        <v>54351</v>
      </c>
      <c r="H69" s="626">
        <v>1.41923</v>
      </c>
      <c r="I69" s="1008">
        <v>1.4665999999999999</v>
      </c>
      <c r="J69" s="1800"/>
      <c r="K69" s="1006">
        <v>52975</v>
      </c>
      <c r="L69" s="839">
        <v>1.1943999999999999</v>
      </c>
      <c r="M69" s="1795"/>
      <c r="N69" s="1009">
        <f t="shared" si="0"/>
        <v>27.22</v>
      </c>
      <c r="O69" s="1122"/>
      <c r="P69" s="1122"/>
      <c r="Q69" s="1122"/>
      <c r="R69" s="1122"/>
      <c r="S69" s="1122"/>
      <c r="T69" s="1122"/>
      <c r="U69" s="1122"/>
      <c r="V69" s="1122"/>
      <c r="W69" s="1122"/>
    </row>
    <row r="70" spans="1:23">
      <c r="A70" s="1122"/>
      <c r="B70" s="801" t="s">
        <v>1153</v>
      </c>
      <c r="C70" s="607" t="s">
        <v>1138</v>
      </c>
      <c r="D70" s="626">
        <v>1.43746</v>
      </c>
      <c r="E70" s="608">
        <v>1.44754</v>
      </c>
      <c r="F70" s="1801"/>
      <c r="G70" s="837">
        <v>56178</v>
      </c>
      <c r="H70" s="626">
        <v>1.43746</v>
      </c>
      <c r="I70" s="1005">
        <v>1.48356</v>
      </c>
      <c r="J70" s="1800"/>
      <c r="K70" s="1006">
        <v>54801</v>
      </c>
      <c r="L70" s="839">
        <v>1.2546999999999999</v>
      </c>
      <c r="M70" s="1795"/>
      <c r="N70" s="1009">
        <f t="shared" si="0"/>
        <v>22.886000000000006</v>
      </c>
      <c r="O70" s="1122"/>
      <c r="P70" s="1122"/>
      <c r="Q70" s="1122"/>
      <c r="R70" s="1122"/>
      <c r="S70" s="1122"/>
      <c r="T70" s="1122"/>
      <c r="U70" s="1122"/>
      <c r="V70" s="1122"/>
      <c r="W70" s="1122"/>
    </row>
    <row r="71" spans="1:23">
      <c r="A71" s="1122"/>
      <c r="B71" s="801" t="s">
        <v>1154</v>
      </c>
      <c r="C71" s="607" t="s">
        <v>1138</v>
      </c>
      <c r="D71" s="626">
        <v>1.43238</v>
      </c>
      <c r="E71" s="608">
        <v>1.44662</v>
      </c>
      <c r="F71" s="1801"/>
      <c r="G71" s="837">
        <v>58004</v>
      </c>
      <c r="H71" s="626">
        <v>1.43238</v>
      </c>
      <c r="I71" s="1005">
        <v>1.47092</v>
      </c>
      <c r="J71" s="1800"/>
      <c r="K71" s="1006">
        <v>56627</v>
      </c>
      <c r="L71" s="839">
        <v>1.2849299999999999</v>
      </c>
      <c r="M71" s="1795"/>
      <c r="N71" s="1009">
        <f t="shared" si="0"/>
        <v>18.599000000000011</v>
      </c>
      <c r="O71" s="1122"/>
      <c r="P71" s="1122"/>
      <c r="Q71" s="1122"/>
      <c r="R71" s="1122"/>
      <c r="S71" s="1122"/>
      <c r="T71" s="1122"/>
      <c r="U71" s="1122"/>
      <c r="V71" s="1122"/>
      <c r="W71" s="1122"/>
    </row>
    <row r="72" spans="1:23">
      <c r="A72" s="1122"/>
      <c r="B72" s="801" t="s">
        <v>1155</v>
      </c>
      <c r="C72" s="607" t="s">
        <v>1138</v>
      </c>
      <c r="D72" s="626">
        <v>1.4034599999999999</v>
      </c>
      <c r="E72" s="608">
        <v>1.4405399999999999</v>
      </c>
      <c r="F72" s="1801"/>
      <c r="G72" s="837">
        <v>61655</v>
      </c>
      <c r="H72" s="626">
        <v>1.4034599999999999</v>
      </c>
      <c r="I72" s="1005">
        <v>1.4229099999999999</v>
      </c>
      <c r="J72" s="1800"/>
      <c r="K72" s="1006">
        <v>60280</v>
      </c>
      <c r="L72" s="839">
        <v>1.27074</v>
      </c>
      <c r="M72" s="1795"/>
      <c r="N72" s="1009">
        <f t="shared" si="0"/>
        <v>15.216999999999992</v>
      </c>
      <c r="O72" s="1122"/>
      <c r="P72" s="1122"/>
      <c r="Q72" s="1122"/>
      <c r="R72" s="1122"/>
      <c r="S72" s="1122"/>
      <c r="T72" s="1122"/>
      <c r="U72" s="1122"/>
      <c r="V72" s="1122"/>
      <c r="W72" s="1122"/>
    </row>
    <row r="73" spans="1:23">
      <c r="A73" s="1122"/>
      <c r="B73" s="801"/>
      <c r="C73" s="607"/>
      <c r="D73" s="626"/>
      <c r="E73" s="608"/>
      <c r="F73" s="1801"/>
      <c r="G73" s="837"/>
      <c r="H73" s="626"/>
      <c r="I73" s="1005"/>
      <c r="J73" s="1800"/>
      <c r="K73" s="1006"/>
      <c r="L73" s="839"/>
      <c r="M73" s="1795"/>
      <c r="N73" s="1009">
        <f t="shared" si="0"/>
        <v>0</v>
      </c>
      <c r="O73" s="1122"/>
      <c r="P73" s="1122"/>
      <c r="Q73" s="1122"/>
      <c r="R73" s="1122"/>
      <c r="S73" s="1122"/>
      <c r="T73" s="1122"/>
      <c r="U73" s="1122"/>
      <c r="V73" s="1122"/>
      <c r="W73" s="1122"/>
    </row>
    <row r="74" spans="1:23">
      <c r="A74" s="1122"/>
      <c r="B74" s="796"/>
      <c r="C74" s="589"/>
      <c r="D74" s="589"/>
      <c r="E74" s="590"/>
      <c r="F74" s="1801"/>
      <c r="G74" s="796"/>
      <c r="H74" s="589"/>
      <c r="I74" s="590"/>
      <c r="J74" s="1804"/>
      <c r="K74" s="730"/>
      <c r="L74" s="839"/>
      <c r="M74" s="1794"/>
      <c r="N74" s="848"/>
      <c r="O74" s="1122"/>
      <c r="P74" s="1122"/>
      <c r="Q74" s="1122"/>
      <c r="R74" s="1122"/>
      <c r="S74" s="1122"/>
      <c r="T74" s="1122"/>
      <c r="U74" s="1122"/>
      <c r="V74" s="1122"/>
      <c r="W74" s="1122"/>
    </row>
    <row r="75" spans="1:23">
      <c r="A75" s="1122"/>
      <c r="B75" s="594"/>
      <c r="C75" s="699"/>
      <c r="D75" s="699"/>
      <c r="E75" s="700"/>
      <c r="F75" s="1805"/>
      <c r="G75" s="594"/>
      <c r="H75" s="699"/>
      <c r="I75" s="700"/>
      <c r="J75" s="1806"/>
      <c r="K75" s="840"/>
      <c r="L75" s="841"/>
      <c r="M75" s="1794"/>
      <c r="N75" s="849"/>
      <c r="O75" s="1122"/>
      <c r="P75" s="1122"/>
      <c r="Q75" s="1122"/>
      <c r="R75" s="1122"/>
      <c r="S75" s="1122"/>
      <c r="T75" s="1122"/>
      <c r="U75" s="1122"/>
      <c r="V75" s="1122"/>
      <c r="W75" s="1122"/>
    </row>
    <row r="76" spans="1:23">
      <c r="A76" s="1122"/>
      <c r="B76" s="1122"/>
      <c r="C76" s="1122"/>
      <c r="D76" s="1122"/>
      <c r="E76" s="1122"/>
      <c r="F76" s="1122"/>
      <c r="G76" s="1122"/>
      <c r="H76" s="1122"/>
      <c r="I76" s="1122"/>
      <c r="J76" s="1122"/>
      <c r="K76" s="1122"/>
      <c r="L76" s="1122"/>
      <c r="M76" s="1122"/>
      <c r="N76" s="1122"/>
      <c r="O76" s="1122"/>
      <c r="P76" s="1122"/>
      <c r="Q76" s="1122"/>
      <c r="R76" s="1122"/>
      <c r="S76" s="1122"/>
      <c r="T76" s="1122"/>
      <c r="U76" s="1122"/>
      <c r="V76" s="1122"/>
      <c r="W76" s="1122"/>
    </row>
    <row r="77" spans="1:23">
      <c r="A77" s="1122"/>
      <c r="B77" s="1122"/>
      <c r="C77" s="1122"/>
      <c r="D77" s="1122"/>
      <c r="E77" s="1122"/>
      <c r="F77" s="1122"/>
      <c r="G77" s="1122"/>
      <c r="H77" s="1122"/>
      <c r="I77" s="1122"/>
      <c r="J77" s="1122"/>
      <c r="K77" s="1122"/>
      <c r="L77" s="1122"/>
      <c r="M77" s="1122"/>
      <c r="N77" s="1122"/>
      <c r="O77" s="1122"/>
      <c r="P77" s="1122"/>
      <c r="Q77" s="1122"/>
      <c r="R77" s="1122"/>
      <c r="S77" s="1122"/>
      <c r="T77" s="1122"/>
      <c r="U77" s="1122"/>
      <c r="V77" s="1122"/>
      <c r="W77" s="1122"/>
    </row>
    <row r="78" spans="1:23">
      <c r="A78" s="1122"/>
      <c r="B78" s="1122"/>
      <c r="C78" s="1122"/>
      <c r="D78" s="1122"/>
      <c r="E78" s="1122"/>
      <c r="F78" s="1122"/>
      <c r="G78" s="1122"/>
      <c r="H78" s="1122"/>
      <c r="I78" s="1122"/>
      <c r="J78" s="1122"/>
      <c r="K78" s="1122"/>
      <c r="L78" s="1122"/>
      <c r="M78" s="1122"/>
      <c r="N78" s="1122"/>
      <c r="O78" s="1122"/>
      <c r="P78" s="1122"/>
      <c r="Q78" s="1122"/>
      <c r="R78" s="1122"/>
      <c r="S78" s="1122"/>
      <c r="T78" s="1122"/>
      <c r="U78" s="1122"/>
      <c r="V78" s="1122"/>
      <c r="W78" s="1122"/>
    </row>
    <row r="79" spans="1:23">
      <c r="A79" s="1122"/>
      <c r="B79" s="1122"/>
      <c r="C79" s="1122"/>
      <c r="D79" s="1122"/>
      <c r="E79" s="1122"/>
      <c r="F79" s="1122"/>
      <c r="G79" s="1122"/>
      <c r="H79" s="1122"/>
      <c r="I79" s="1122"/>
      <c r="J79" s="1122"/>
      <c r="K79" s="1122"/>
      <c r="L79" s="1122"/>
      <c r="M79" s="1122"/>
      <c r="N79" s="1122"/>
      <c r="O79" s="1122"/>
      <c r="P79" s="1122"/>
      <c r="Q79" s="1122"/>
      <c r="R79" s="1122"/>
      <c r="S79" s="1122"/>
      <c r="T79" s="1122"/>
      <c r="U79" s="1122"/>
      <c r="V79" s="1122"/>
      <c r="W79" s="1122"/>
    </row>
    <row r="80" spans="1:23">
      <c r="A80" s="1122"/>
      <c r="B80" s="1122"/>
      <c r="C80" s="1122"/>
      <c r="D80" s="1122"/>
      <c r="E80" s="1122"/>
      <c r="F80" s="1122"/>
      <c r="G80" s="1122"/>
      <c r="H80" s="1122"/>
      <c r="I80" s="1122"/>
      <c r="J80" s="1122"/>
      <c r="K80" s="1122"/>
      <c r="L80" s="1122"/>
      <c r="M80" s="1122"/>
      <c r="N80" s="1122"/>
      <c r="O80" s="1122"/>
      <c r="P80" s="1122"/>
      <c r="Q80" s="1122"/>
      <c r="R80" s="1122"/>
      <c r="S80" s="1122"/>
      <c r="T80" s="1122"/>
      <c r="U80" s="1122"/>
      <c r="V80" s="1122"/>
      <c r="W80" s="1122"/>
    </row>
    <row r="81" spans="1:23">
      <c r="A81" s="1122"/>
      <c r="B81" s="1122"/>
      <c r="C81" s="1122"/>
      <c r="D81" s="1122"/>
      <c r="E81" s="1122"/>
      <c r="F81" s="1122"/>
      <c r="G81" s="1122"/>
      <c r="H81" s="1122"/>
      <c r="I81" s="1122"/>
      <c r="J81" s="1122"/>
      <c r="K81" s="1122"/>
      <c r="L81" s="1122"/>
      <c r="M81" s="1122"/>
      <c r="N81" s="1122"/>
      <c r="O81" s="1122"/>
      <c r="P81" s="1122"/>
      <c r="Q81" s="1122"/>
      <c r="R81" s="1122"/>
      <c r="S81" s="1122"/>
      <c r="T81" s="1122"/>
      <c r="U81" s="1122"/>
      <c r="V81" s="1122"/>
      <c r="W81" s="1122"/>
    </row>
    <row r="82" spans="1:23">
      <c r="A82" s="1122"/>
      <c r="B82" s="1122"/>
      <c r="C82" s="1122"/>
      <c r="D82" s="1122"/>
      <c r="E82" s="1122"/>
      <c r="F82" s="1122"/>
      <c r="G82" s="1122"/>
      <c r="H82" s="1122"/>
      <c r="I82" s="1122"/>
      <c r="J82" s="1122"/>
      <c r="K82" s="1122"/>
      <c r="L82" s="1122"/>
      <c r="M82" s="1122"/>
      <c r="N82" s="1122"/>
      <c r="O82" s="1122"/>
      <c r="P82" s="1122"/>
      <c r="Q82" s="1122"/>
      <c r="R82" s="1122"/>
      <c r="S82" s="1122"/>
      <c r="T82" s="1122"/>
      <c r="U82" s="1122"/>
      <c r="V82" s="1122"/>
      <c r="W82" s="1122"/>
    </row>
    <row r="83" spans="1:23">
      <c r="A83" s="1122"/>
      <c r="B83" s="1122"/>
      <c r="C83" s="1122"/>
      <c r="D83" s="1122"/>
      <c r="E83" s="1122"/>
      <c r="F83" s="1122"/>
      <c r="G83" s="1122"/>
      <c r="H83" s="1122"/>
      <c r="I83" s="1122"/>
      <c r="J83" s="1122"/>
      <c r="K83" s="1122"/>
      <c r="L83" s="1122"/>
      <c r="M83" s="1122"/>
      <c r="N83" s="1122"/>
      <c r="O83" s="1122"/>
      <c r="P83" s="1122"/>
      <c r="Q83" s="1122"/>
      <c r="R83" s="1122"/>
      <c r="S83" s="1122"/>
      <c r="T83" s="1122"/>
      <c r="U83" s="1122"/>
      <c r="V83" s="1122"/>
      <c r="W83" s="1122"/>
    </row>
    <row r="84" spans="1:23">
      <c r="A84" s="1122"/>
      <c r="B84" s="1122"/>
      <c r="C84" s="1122"/>
      <c r="D84" s="1122"/>
      <c r="E84" s="1122"/>
      <c r="F84" s="1122"/>
      <c r="G84" s="1122"/>
      <c r="H84" s="1122"/>
      <c r="I84" s="1122"/>
      <c r="J84" s="1122"/>
      <c r="K84" s="1122"/>
      <c r="L84" s="1122"/>
      <c r="M84" s="1122"/>
      <c r="N84" s="1122"/>
      <c r="O84" s="1122"/>
      <c r="P84" s="1122"/>
      <c r="Q84" s="1122"/>
      <c r="R84" s="1122"/>
      <c r="S84" s="1122"/>
      <c r="T84" s="1122"/>
      <c r="U84" s="1122"/>
      <c r="V84" s="1122"/>
      <c r="W84" s="1122"/>
    </row>
    <row r="85" spans="1:23">
      <c r="A85" s="1122"/>
      <c r="B85" s="1122"/>
      <c r="C85" s="1122"/>
      <c r="D85" s="1122"/>
      <c r="E85" s="1122"/>
      <c r="F85" s="1122"/>
      <c r="G85" s="1122"/>
      <c r="H85" s="1122"/>
      <c r="I85" s="1122"/>
      <c r="J85" s="1122"/>
      <c r="K85" s="1122"/>
      <c r="L85" s="1122"/>
      <c r="M85" s="1122"/>
      <c r="N85" s="1122"/>
      <c r="O85" s="1122"/>
      <c r="P85" s="1122"/>
      <c r="Q85" s="1122"/>
      <c r="R85" s="1122"/>
      <c r="S85" s="1122"/>
      <c r="T85" s="1122"/>
      <c r="U85" s="1122"/>
      <c r="V85" s="1122"/>
      <c r="W85" s="1122"/>
    </row>
    <row r="86" spans="1:23">
      <c r="A86" s="1122"/>
      <c r="B86" s="1122"/>
      <c r="C86" s="1122"/>
      <c r="D86" s="1122"/>
      <c r="E86" s="1122"/>
      <c r="F86" s="1122"/>
      <c r="G86" s="1122"/>
      <c r="H86" s="1122"/>
      <c r="I86" s="1122"/>
      <c r="J86" s="1122"/>
      <c r="K86" s="1122"/>
      <c r="L86" s="1122"/>
      <c r="M86" s="1122"/>
      <c r="N86" s="1122"/>
      <c r="O86" s="1122"/>
      <c r="P86" s="1122"/>
      <c r="Q86" s="1122"/>
      <c r="R86" s="1122"/>
      <c r="S86" s="1122"/>
      <c r="T86" s="1122"/>
      <c r="U86" s="1122"/>
      <c r="V86" s="1122"/>
      <c r="W86" s="1122"/>
    </row>
    <row r="87" spans="1:23">
      <c r="A87" s="1122"/>
      <c r="B87" s="1122"/>
      <c r="C87" s="1122"/>
      <c r="D87" s="1122"/>
      <c r="E87" s="1122"/>
      <c r="F87" s="1122"/>
      <c r="G87" s="1122"/>
      <c r="H87" s="1122"/>
      <c r="I87" s="1122"/>
      <c r="J87" s="1122"/>
      <c r="K87" s="1122"/>
      <c r="L87" s="1122"/>
      <c r="M87" s="1122"/>
      <c r="N87" s="1122"/>
      <c r="O87" s="1122"/>
      <c r="P87" s="1122"/>
      <c r="Q87" s="1122"/>
      <c r="R87" s="1122"/>
      <c r="S87" s="1122"/>
      <c r="T87" s="1122"/>
      <c r="U87" s="1122"/>
      <c r="V87" s="1122"/>
      <c r="W87" s="1122"/>
    </row>
    <row r="88" spans="1:23">
      <c r="A88" s="1122"/>
      <c r="B88" s="1122"/>
      <c r="C88" s="1122"/>
      <c r="D88" s="1122"/>
      <c r="E88" s="1122"/>
      <c r="F88" s="1122"/>
      <c r="G88" s="1122"/>
      <c r="H88" s="1122"/>
      <c r="I88" s="1122"/>
      <c r="J88" s="1122"/>
      <c r="K88" s="1122"/>
      <c r="L88" s="1122"/>
      <c r="M88" s="1122"/>
      <c r="N88" s="1122"/>
      <c r="O88" s="1122"/>
      <c r="P88" s="1122"/>
      <c r="Q88" s="1122"/>
      <c r="R88" s="1122"/>
      <c r="S88" s="1122"/>
      <c r="T88" s="1122"/>
      <c r="U88" s="1122"/>
      <c r="V88" s="1122"/>
      <c r="W88" s="1122"/>
    </row>
  </sheetData>
  <mergeCells count="8">
    <mergeCell ref="H33:I33"/>
    <mergeCell ref="H32:I32"/>
    <mergeCell ref="B26:E26"/>
    <mergeCell ref="G26:I26"/>
    <mergeCell ref="K26:L26"/>
    <mergeCell ref="B27:E27"/>
    <mergeCell ref="G27:I27"/>
    <mergeCell ref="K27:L27"/>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FFFFCC"/>
  </sheetPr>
  <dimension ref="B5:T49"/>
  <sheetViews>
    <sheetView workbookViewId="0"/>
  </sheetViews>
  <sheetFormatPr baseColWidth="10" defaultColWidth="9.140625" defaultRowHeight="15"/>
  <cols>
    <col min="1" max="1" width="3.7109375" style="1117" customWidth="1"/>
    <col min="2" max="2" width="17.28515625" style="1117" customWidth="1"/>
    <col min="3" max="3" width="9.140625" style="1117"/>
    <col min="4" max="4" width="36.5703125" style="1117" bestFit="1" customWidth="1"/>
    <col min="5" max="6" width="9" style="1117" bestFit="1" customWidth="1"/>
    <col min="7" max="7" width="10" style="1117" bestFit="1" customWidth="1"/>
    <col min="8" max="8" width="3.42578125" style="1117" bestFit="1" customWidth="1"/>
    <col min="9" max="9" width="5" style="1117" bestFit="1" customWidth="1"/>
    <col min="10" max="10" width="16.28515625" style="1117" bestFit="1" customWidth="1"/>
    <col min="11" max="11" width="10.7109375" style="1117" bestFit="1" customWidth="1"/>
    <col min="12" max="12" width="2" style="1117" bestFit="1" customWidth="1"/>
    <col min="13" max="13" width="12" style="1117" bestFit="1" customWidth="1"/>
    <col min="14" max="14" width="7" style="1117" bestFit="1" customWidth="1"/>
    <col min="15" max="15" width="26.7109375" style="1117" bestFit="1" customWidth="1"/>
    <col min="16" max="16384" width="9.140625" style="1117"/>
  </cols>
  <sheetData>
    <row r="5" spans="2:19">
      <c r="B5" s="2117" t="s">
        <v>541</v>
      </c>
      <c r="C5" s="6"/>
      <c r="D5" s="6" t="s">
        <v>1977</v>
      </c>
      <c r="E5" s="6"/>
      <c r="F5" s="6"/>
      <c r="G5" s="6"/>
      <c r="H5" s="6"/>
      <c r="I5" s="6"/>
      <c r="J5" s="6"/>
      <c r="K5" s="6"/>
      <c r="L5" s="6"/>
      <c r="M5" s="6"/>
      <c r="N5" s="6"/>
      <c r="O5" s="6"/>
      <c r="P5" s="6"/>
      <c r="Q5" s="6"/>
      <c r="R5" s="6"/>
      <c r="S5" s="7"/>
    </row>
    <row r="6" spans="2:19">
      <c r="B6" s="2116"/>
      <c r="C6" s="2115"/>
      <c r="D6" s="2032" t="e">
        <f>_xll.BDS(B5,D5,"cols=12;rows=5")</f>
        <v>#N/A</v>
      </c>
      <c r="E6" s="751" t="s">
        <v>1978</v>
      </c>
      <c r="F6" s="751">
        <v>6.3138249999999996</v>
      </c>
      <c r="G6" s="751">
        <v>4.6492639999999996</v>
      </c>
      <c r="H6" s="751" t="s">
        <v>1991</v>
      </c>
      <c r="I6" s="751">
        <v>2016</v>
      </c>
      <c r="J6" s="751" t="s">
        <v>1980</v>
      </c>
      <c r="K6" s="19">
        <v>42835</v>
      </c>
      <c r="L6" s="751">
        <v>5</v>
      </c>
      <c r="M6" s="751">
        <v>205012017.06999999</v>
      </c>
      <c r="N6" s="751">
        <v>115240</v>
      </c>
      <c r="O6" s="751" t="s">
        <v>1981</v>
      </c>
      <c r="P6" s="751"/>
      <c r="Q6" s="751"/>
      <c r="R6" s="751"/>
      <c r="S6" s="8"/>
    </row>
    <row r="7" spans="2:19">
      <c r="B7" s="2118" t="s">
        <v>2002</v>
      </c>
      <c r="C7" s="751"/>
      <c r="D7" s="751" t="s">
        <v>1986</v>
      </c>
      <c r="E7" s="751" t="s">
        <v>1983</v>
      </c>
      <c r="F7" s="751">
        <v>0.53500300000000001</v>
      </c>
      <c r="G7" s="751">
        <v>0.46403699999999998</v>
      </c>
      <c r="H7" s="751" t="s">
        <v>1979</v>
      </c>
      <c r="I7" s="751">
        <v>2016</v>
      </c>
      <c r="J7" s="751" t="s">
        <v>1980</v>
      </c>
      <c r="K7" s="19">
        <v>42614</v>
      </c>
      <c r="L7" s="751">
        <v>5</v>
      </c>
      <c r="M7" s="751">
        <v>72401952</v>
      </c>
      <c r="N7" s="751">
        <v>101729</v>
      </c>
      <c r="O7" s="751" t="s">
        <v>1988</v>
      </c>
      <c r="P7" s="751"/>
      <c r="Q7" s="751"/>
      <c r="R7" s="751"/>
      <c r="S7" s="8"/>
    </row>
    <row r="8" spans="2:19">
      <c r="B8" s="740"/>
      <c r="C8" s="751"/>
      <c r="D8" s="751" t="s">
        <v>1982</v>
      </c>
      <c r="E8" s="751" t="s">
        <v>1983</v>
      </c>
      <c r="F8" s="751">
        <v>1.552961</v>
      </c>
      <c r="G8" s="751">
        <v>0.42905799999999999</v>
      </c>
      <c r="H8" s="751" t="s">
        <v>1984</v>
      </c>
      <c r="I8" s="751">
        <v>2016</v>
      </c>
      <c r="J8" s="751" t="s">
        <v>1980</v>
      </c>
      <c r="K8" s="19">
        <v>42587</v>
      </c>
      <c r="L8" s="751">
        <v>5</v>
      </c>
      <c r="M8" s="751">
        <v>66944296</v>
      </c>
      <c r="N8" s="751">
        <v>117092</v>
      </c>
      <c r="O8" s="751" t="s">
        <v>1985</v>
      </c>
      <c r="P8" s="751"/>
      <c r="Q8" s="751"/>
      <c r="R8" s="751"/>
      <c r="S8" s="8"/>
    </row>
    <row r="9" spans="2:19">
      <c r="B9" s="740"/>
      <c r="C9" s="751"/>
      <c r="D9" s="751" t="s">
        <v>2036</v>
      </c>
      <c r="E9" s="751" t="s">
        <v>1983</v>
      </c>
      <c r="F9" s="751">
        <v>0.52355099999999999</v>
      </c>
      <c r="G9" s="751">
        <v>0.37306699999999998</v>
      </c>
      <c r="H9" s="751" t="s">
        <v>1991</v>
      </c>
      <c r="I9" s="751">
        <v>2016</v>
      </c>
      <c r="J9" s="751" t="s">
        <v>1980</v>
      </c>
      <c r="K9" s="19">
        <v>42706</v>
      </c>
      <c r="L9" s="751">
        <v>5</v>
      </c>
      <c r="M9" s="751">
        <v>65506700</v>
      </c>
      <c r="N9" s="751">
        <v>100732</v>
      </c>
      <c r="O9" s="751" t="s">
        <v>2037</v>
      </c>
      <c r="P9" s="751"/>
      <c r="Q9" s="751"/>
      <c r="R9" s="751"/>
      <c r="S9" s="8"/>
    </row>
    <row r="10" spans="2:19">
      <c r="B10" s="740"/>
      <c r="C10" s="751"/>
      <c r="D10" s="751" t="s">
        <v>1989</v>
      </c>
      <c r="E10" s="751" t="s">
        <v>1983</v>
      </c>
      <c r="F10" s="751">
        <v>0.82625499999999996</v>
      </c>
      <c r="G10" s="751">
        <v>0.38788899999999998</v>
      </c>
      <c r="H10" s="751" t="s">
        <v>1987</v>
      </c>
      <c r="I10" s="751">
        <v>2016</v>
      </c>
      <c r="J10" s="751" t="s">
        <v>1980</v>
      </c>
      <c r="K10" s="19">
        <v>42464</v>
      </c>
      <c r="L10" s="751">
        <v>5</v>
      </c>
      <c r="M10" s="751">
        <v>55828302.670000002</v>
      </c>
      <c r="N10" s="751">
        <v>100115</v>
      </c>
      <c r="O10" s="751" t="s">
        <v>1990</v>
      </c>
      <c r="P10" s="751"/>
      <c r="Q10" s="751"/>
      <c r="R10" s="751"/>
      <c r="S10" s="8"/>
    </row>
    <row r="11" spans="2:19">
      <c r="B11" s="740"/>
      <c r="C11" s="751"/>
      <c r="D11" s="751"/>
      <c r="E11" s="751"/>
      <c r="F11" s="751"/>
      <c r="G11" s="751"/>
      <c r="H11" s="751"/>
      <c r="I11" s="751"/>
      <c r="J11" s="751"/>
      <c r="K11" s="751"/>
      <c r="L11" s="751"/>
      <c r="M11" s="751"/>
      <c r="N11" s="751"/>
      <c r="O11" s="751"/>
      <c r="P11" s="751"/>
      <c r="Q11" s="751"/>
      <c r="R11" s="751"/>
      <c r="S11" s="8"/>
    </row>
    <row r="12" spans="2:19">
      <c r="B12" s="2117" t="s">
        <v>541</v>
      </c>
      <c r="C12" s="751"/>
      <c r="D12" s="691" t="s">
        <v>1992</v>
      </c>
      <c r="E12" s="751"/>
      <c r="F12" s="751"/>
      <c r="G12" s="751"/>
      <c r="H12" s="751"/>
      <c r="I12" s="751"/>
      <c r="J12" s="751"/>
      <c r="K12" s="751"/>
      <c r="L12" s="751"/>
      <c r="M12" s="751"/>
      <c r="N12" s="751"/>
      <c r="O12" s="751"/>
      <c r="P12" s="751"/>
      <c r="Q12" s="751"/>
      <c r="R12" s="751"/>
      <c r="S12" s="8"/>
    </row>
    <row r="13" spans="2:19">
      <c r="B13" s="2116"/>
      <c r="C13" s="2115"/>
      <c r="D13" s="2032" t="e">
        <f>_xll.BDS(B12,D12,"cols=12;rows=5")</f>
        <v>#N/A</v>
      </c>
      <c r="E13" s="751">
        <v>1.2384520000000001</v>
      </c>
      <c r="F13" s="751" t="s">
        <v>1993</v>
      </c>
      <c r="G13" s="751">
        <v>8.9301929999999992</v>
      </c>
      <c r="H13" s="751" t="s">
        <v>1979</v>
      </c>
      <c r="I13" s="751">
        <v>2017</v>
      </c>
      <c r="J13" s="751" t="s">
        <v>1980</v>
      </c>
      <c r="K13" s="19">
        <v>42880</v>
      </c>
      <c r="L13" s="751">
        <v>5</v>
      </c>
      <c r="M13" s="751">
        <v>266726546.90000001</v>
      </c>
      <c r="N13" s="751">
        <v>173740</v>
      </c>
      <c r="O13" s="751" t="s">
        <v>1994</v>
      </c>
      <c r="P13" s="751"/>
      <c r="Q13" s="751"/>
      <c r="R13" s="751"/>
      <c r="S13" s="8"/>
    </row>
    <row r="14" spans="2:19">
      <c r="B14" s="2118" t="s">
        <v>2003</v>
      </c>
      <c r="C14" s="751"/>
      <c r="D14" s="751" t="s">
        <v>1995</v>
      </c>
      <c r="E14" s="751">
        <v>0.47787099999999999</v>
      </c>
      <c r="F14" s="751" t="s">
        <v>1983</v>
      </c>
      <c r="G14" s="751">
        <v>0.93411699999999998</v>
      </c>
      <c r="H14" s="751" t="s">
        <v>1979</v>
      </c>
      <c r="I14" s="751">
        <v>2017</v>
      </c>
      <c r="J14" s="751" t="s">
        <v>1980</v>
      </c>
      <c r="K14" s="19">
        <v>42880</v>
      </c>
      <c r="L14" s="751">
        <v>5</v>
      </c>
      <c r="M14" s="751">
        <v>102919516.20999999</v>
      </c>
      <c r="N14" s="751">
        <v>100916</v>
      </c>
      <c r="O14" s="751" t="s">
        <v>1996</v>
      </c>
      <c r="P14" s="751"/>
      <c r="Q14" s="751"/>
      <c r="R14" s="751"/>
      <c r="S14" s="8"/>
    </row>
    <row r="15" spans="2:19">
      <c r="B15" s="740"/>
      <c r="C15" s="751"/>
      <c r="D15" s="751" t="s">
        <v>2038</v>
      </c>
      <c r="E15" s="751">
        <v>0.42288500000000001</v>
      </c>
      <c r="F15" s="751" t="s">
        <v>1983</v>
      </c>
      <c r="G15" s="751">
        <v>0.52661800000000003</v>
      </c>
      <c r="H15" s="751" t="s">
        <v>1979</v>
      </c>
      <c r="I15" s="751">
        <v>2016</v>
      </c>
      <c r="J15" s="751" t="s">
        <v>1980</v>
      </c>
      <c r="K15" s="19">
        <v>42594</v>
      </c>
      <c r="L15" s="751">
        <v>5</v>
      </c>
      <c r="M15" s="751">
        <v>94609300.150000006</v>
      </c>
      <c r="N15" s="751">
        <v>876285</v>
      </c>
      <c r="O15" s="751" t="s">
        <v>2039</v>
      </c>
      <c r="P15" s="751"/>
      <c r="Q15" s="751"/>
      <c r="R15" s="751"/>
      <c r="S15" s="8"/>
    </row>
    <row r="16" spans="2:19">
      <c r="B16" s="740"/>
      <c r="C16" s="751"/>
      <c r="D16" s="751" t="s">
        <v>1997</v>
      </c>
      <c r="E16" s="751">
        <v>0.356348</v>
      </c>
      <c r="F16" s="751" t="s">
        <v>1983</v>
      </c>
      <c r="G16" s="751">
        <v>20.985523000000001</v>
      </c>
      <c r="H16" s="751" t="s">
        <v>1031</v>
      </c>
      <c r="I16" s="751">
        <v>2016</v>
      </c>
      <c r="J16" s="751" t="s">
        <v>2167</v>
      </c>
      <c r="K16" s="19">
        <v>42745</v>
      </c>
      <c r="L16" s="751">
        <v>5</v>
      </c>
      <c r="M16" s="751">
        <v>79228031.569999993</v>
      </c>
      <c r="N16" s="751">
        <v>157662</v>
      </c>
      <c r="O16" s="751" t="s">
        <v>1998</v>
      </c>
      <c r="P16" s="751"/>
      <c r="Q16" s="751"/>
      <c r="R16" s="751"/>
      <c r="S16" s="8"/>
    </row>
    <row r="17" spans="2:20">
      <c r="B17" s="740"/>
      <c r="C17" s="751"/>
      <c r="D17" s="751" t="s">
        <v>2171</v>
      </c>
      <c r="E17" s="751">
        <v>0.29971500000000001</v>
      </c>
      <c r="F17" s="751" t="s">
        <v>1983</v>
      </c>
      <c r="G17" s="751">
        <v>4.2756999999999996</v>
      </c>
      <c r="H17" s="751" t="s">
        <v>1991</v>
      </c>
      <c r="I17" s="751">
        <v>2016</v>
      </c>
      <c r="J17" s="751" t="s">
        <v>1980</v>
      </c>
      <c r="K17" s="19">
        <v>42790</v>
      </c>
      <c r="L17" s="751">
        <v>5</v>
      </c>
      <c r="M17" s="751">
        <v>61771040</v>
      </c>
      <c r="N17" s="751">
        <v>305945</v>
      </c>
      <c r="O17" s="751" t="s">
        <v>2172</v>
      </c>
      <c r="P17" s="751"/>
      <c r="Q17" s="751"/>
      <c r="R17" s="751"/>
      <c r="S17" s="8"/>
    </row>
    <row r="18" spans="2:20">
      <c r="B18" s="740"/>
      <c r="C18" s="751"/>
      <c r="D18" s="751"/>
      <c r="E18" s="751"/>
      <c r="F18" s="751"/>
      <c r="G18" s="751"/>
      <c r="H18" s="751"/>
      <c r="I18" s="751"/>
      <c r="J18" s="751"/>
      <c r="K18" s="751"/>
      <c r="L18" s="751"/>
      <c r="M18" s="751"/>
      <c r="N18" s="751"/>
      <c r="O18" s="751"/>
      <c r="P18" s="751"/>
      <c r="Q18" s="751"/>
      <c r="R18" s="751"/>
      <c r="S18" s="8"/>
    </row>
    <row r="19" spans="2:20">
      <c r="B19" s="2117" t="s">
        <v>541</v>
      </c>
      <c r="C19" s="751"/>
      <c r="D19" s="751" t="s">
        <v>1999</v>
      </c>
      <c r="E19" s="751"/>
      <c r="F19" s="751"/>
      <c r="G19" s="751"/>
      <c r="H19" s="751"/>
      <c r="I19" s="751"/>
      <c r="J19" s="751"/>
      <c r="K19" s="751"/>
      <c r="L19" s="751"/>
      <c r="M19" s="751"/>
      <c r="N19" s="751"/>
      <c r="O19" s="751"/>
      <c r="P19" s="751"/>
      <c r="Q19" s="751"/>
      <c r="R19" s="751"/>
      <c r="S19" s="8"/>
    </row>
    <row r="20" spans="2:20" ht="18.75">
      <c r="B20" s="2116"/>
      <c r="C20" s="2115"/>
      <c r="D20" s="2032" t="e">
        <f>_xll.BDS(B19,D19,"cols=1;rows=5")</f>
        <v>#N/A</v>
      </c>
      <c r="E20" s="2119" t="s">
        <v>2005</v>
      </c>
      <c r="G20" s="751"/>
      <c r="H20" s="751"/>
      <c r="I20" s="751"/>
      <c r="J20" s="2175" t="s">
        <v>2006</v>
      </c>
      <c r="K20" s="751"/>
      <c r="L20" s="751"/>
      <c r="M20" s="751"/>
      <c r="N20" s="751"/>
      <c r="O20" s="751"/>
      <c r="P20" s="751"/>
      <c r="Q20" s="751"/>
      <c r="R20" s="751"/>
      <c r="S20" s="8"/>
    </row>
    <row r="21" spans="2:20">
      <c r="B21" s="2118" t="s">
        <v>2001</v>
      </c>
      <c r="C21" s="751"/>
      <c r="D21" s="751" t="s">
        <v>1986</v>
      </c>
      <c r="E21" s="751"/>
      <c r="F21" s="750"/>
      <c r="G21" s="751"/>
      <c r="H21" s="751"/>
      <c r="I21" s="751"/>
      <c r="J21" s="750"/>
      <c r="K21" s="751"/>
      <c r="L21" s="751"/>
      <c r="M21" s="751"/>
      <c r="N21" s="751"/>
      <c r="O21" s="751"/>
      <c r="P21" s="751"/>
      <c r="Q21" s="751"/>
      <c r="R21" s="751"/>
      <c r="S21" s="8"/>
    </row>
    <row r="22" spans="2:20">
      <c r="B22" s="740"/>
      <c r="C22" s="751"/>
      <c r="D22" s="751" t="s">
        <v>1982</v>
      </c>
      <c r="E22" s="751"/>
      <c r="F22" s="751"/>
      <c r="G22" s="751"/>
      <c r="H22" s="751"/>
      <c r="I22" s="751"/>
      <c r="J22" s="751"/>
      <c r="K22" s="751"/>
      <c r="L22" s="751"/>
      <c r="M22" s="751"/>
      <c r="N22" s="751"/>
      <c r="O22" s="751"/>
      <c r="P22" s="751"/>
      <c r="Q22" s="751"/>
      <c r="R22" s="751"/>
      <c r="S22" s="8"/>
    </row>
    <row r="23" spans="2:20">
      <c r="B23" s="740"/>
      <c r="C23" s="751"/>
      <c r="D23" s="751" t="s">
        <v>2036</v>
      </c>
      <c r="E23" s="751"/>
      <c r="F23" s="751"/>
      <c r="G23" s="751"/>
      <c r="H23" s="751"/>
      <c r="I23" s="751"/>
      <c r="J23" s="751"/>
      <c r="K23" s="751"/>
      <c r="L23" s="751"/>
      <c r="M23" s="751"/>
      <c r="N23" s="751"/>
      <c r="O23" s="751"/>
      <c r="P23" s="751"/>
      <c r="Q23" s="751"/>
      <c r="R23" s="751"/>
      <c r="S23" s="8"/>
    </row>
    <row r="24" spans="2:20">
      <c r="B24" s="740"/>
      <c r="C24" s="751"/>
      <c r="D24" s="751" t="s">
        <v>1989</v>
      </c>
      <c r="E24" s="751"/>
      <c r="F24" s="751"/>
      <c r="G24" s="751"/>
      <c r="H24" s="751"/>
      <c r="I24" s="751"/>
      <c r="J24" s="751"/>
      <c r="K24" s="751"/>
      <c r="L24" s="751"/>
      <c r="M24" s="751"/>
      <c r="N24" s="751"/>
      <c r="O24" s="751"/>
      <c r="P24" s="751"/>
      <c r="Q24" s="751"/>
      <c r="R24" s="751"/>
      <c r="S24" s="8"/>
    </row>
    <row r="25" spans="2:20">
      <c r="B25" s="740"/>
      <c r="C25" s="751"/>
      <c r="D25" s="751"/>
      <c r="E25" s="751"/>
      <c r="F25" s="751"/>
      <c r="G25" s="751"/>
      <c r="H25" s="751"/>
      <c r="I25" s="751"/>
      <c r="J25" s="751"/>
      <c r="K25" s="751"/>
      <c r="L25" s="751"/>
      <c r="M25" s="751"/>
      <c r="N25" s="751"/>
      <c r="O25" s="751"/>
      <c r="P25" s="751"/>
      <c r="Q25" s="751"/>
      <c r="R25" s="751"/>
      <c r="S25" s="8"/>
    </row>
    <row r="26" spans="2:20">
      <c r="B26" s="2117" t="s">
        <v>541</v>
      </c>
      <c r="C26" s="751"/>
      <c r="D26" s="751" t="s">
        <v>2000</v>
      </c>
      <c r="E26" s="751"/>
      <c r="F26" s="751"/>
      <c r="G26" s="751"/>
      <c r="H26" s="751"/>
      <c r="I26" s="751"/>
      <c r="J26" s="751"/>
      <c r="K26" s="751"/>
      <c r="L26" s="751"/>
      <c r="M26" s="751"/>
      <c r="N26" s="751"/>
      <c r="O26" s="751"/>
      <c r="P26" s="751"/>
      <c r="Q26" s="751"/>
      <c r="R26" s="751"/>
      <c r="S26" s="8"/>
    </row>
    <row r="27" spans="2:20">
      <c r="B27" s="740"/>
      <c r="C27" s="751"/>
      <c r="D27" s="2032" t="e">
        <f>_xll.BDS(B26,D26,"cols=1;rows=5")</f>
        <v>#N/A</v>
      </c>
      <c r="E27" s="751"/>
      <c r="F27" s="751"/>
      <c r="G27" s="751"/>
      <c r="H27" s="751"/>
      <c r="I27" s="751"/>
      <c r="J27" s="751"/>
      <c r="K27" s="751"/>
      <c r="L27" s="751"/>
      <c r="M27" s="751"/>
      <c r="N27" s="751"/>
      <c r="O27" s="751"/>
      <c r="P27" s="751"/>
      <c r="Q27" s="751"/>
      <c r="R27" s="751"/>
      <c r="S27" s="8"/>
    </row>
    <row r="28" spans="2:20">
      <c r="B28" s="2118" t="s">
        <v>2004</v>
      </c>
      <c r="C28" s="751"/>
      <c r="D28" s="751" t="s">
        <v>1995</v>
      </c>
      <c r="E28" s="751"/>
      <c r="F28" s="751"/>
      <c r="G28" s="751"/>
      <c r="H28" s="751"/>
      <c r="I28" s="751"/>
      <c r="J28" s="751"/>
      <c r="K28" s="751"/>
      <c r="L28" s="751"/>
      <c r="M28" s="751"/>
      <c r="N28" s="751"/>
      <c r="O28" s="751"/>
      <c r="P28" s="751"/>
      <c r="Q28" s="751"/>
      <c r="R28" s="751"/>
      <c r="S28" s="8"/>
    </row>
    <row r="29" spans="2:20">
      <c r="B29" s="740"/>
      <c r="C29" s="751"/>
      <c r="D29" s="751" t="s">
        <v>2038</v>
      </c>
      <c r="E29" s="751"/>
      <c r="F29" s="751"/>
      <c r="G29" s="751"/>
      <c r="H29" s="751"/>
      <c r="I29" s="751"/>
      <c r="J29" s="751"/>
      <c r="K29" s="751"/>
      <c r="L29" s="751"/>
      <c r="M29" s="751"/>
      <c r="N29" s="751"/>
      <c r="O29" s="751"/>
      <c r="P29" s="751"/>
      <c r="Q29" s="751"/>
      <c r="R29" s="751"/>
      <c r="S29" s="8"/>
    </row>
    <row r="30" spans="2:20">
      <c r="B30" s="740"/>
      <c r="C30" s="751"/>
      <c r="D30" s="751" t="s">
        <v>1997</v>
      </c>
      <c r="E30" s="751"/>
      <c r="F30" s="751"/>
      <c r="G30" s="751"/>
      <c r="H30" s="751"/>
      <c r="I30" s="751"/>
      <c r="J30" s="751"/>
      <c r="K30" s="751"/>
      <c r="L30" s="751"/>
      <c r="M30" s="751"/>
      <c r="N30" s="751"/>
      <c r="O30" s="751"/>
      <c r="P30" s="751"/>
      <c r="Q30" s="751"/>
      <c r="R30" s="751"/>
      <c r="S30" s="8"/>
    </row>
    <row r="31" spans="2:20">
      <c r="B31" s="740"/>
      <c r="C31" s="751"/>
      <c r="D31" s="751" t="s">
        <v>2171</v>
      </c>
      <c r="E31" s="751"/>
      <c r="F31" s="751"/>
      <c r="G31" s="751"/>
      <c r="H31" s="751"/>
      <c r="I31" s="751"/>
      <c r="J31" s="751"/>
      <c r="K31" s="751"/>
      <c r="L31" s="751"/>
      <c r="M31" s="751"/>
      <c r="N31" s="751"/>
      <c r="O31" s="751"/>
      <c r="P31" s="751"/>
      <c r="Q31" s="751"/>
      <c r="R31" s="751"/>
      <c r="S31" s="8"/>
    </row>
    <row r="32" spans="2:20">
      <c r="B32" s="740"/>
      <c r="C32" s="751"/>
      <c r="D32" s="751"/>
      <c r="E32" s="751"/>
      <c r="F32" s="751"/>
      <c r="G32" s="751"/>
      <c r="H32" s="751"/>
      <c r="I32" s="751"/>
      <c r="J32" s="751"/>
      <c r="K32" s="751"/>
      <c r="L32" s="751"/>
      <c r="M32" s="751"/>
      <c r="N32" s="751"/>
      <c r="O32" s="751"/>
      <c r="P32" s="751"/>
      <c r="Q32" s="751"/>
      <c r="R32" s="751"/>
      <c r="S32" s="8"/>
      <c r="T32" s="1119"/>
    </row>
    <row r="33" spans="2:20">
      <c r="B33" s="740"/>
      <c r="C33" s="751"/>
      <c r="D33" s="751"/>
      <c r="E33" s="751"/>
      <c r="F33" s="751"/>
      <c r="G33" s="751"/>
      <c r="H33" s="751"/>
      <c r="I33" s="751"/>
      <c r="J33" s="751"/>
      <c r="K33" s="751"/>
      <c r="L33" s="751"/>
      <c r="M33" s="751"/>
      <c r="N33" s="751"/>
      <c r="O33" s="751"/>
      <c r="P33" s="751"/>
      <c r="Q33" s="751"/>
      <c r="R33" s="751"/>
      <c r="S33" s="8"/>
      <c r="T33" s="1119"/>
    </row>
    <row r="34" spans="2:20">
      <c r="B34" s="740"/>
      <c r="C34" s="751"/>
      <c r="D34" s="751"/>
      <c r="E34" s="751"/>
      <c r="F34" s="751"/>
      <c r="G34" s="751"/>
      <c r="H34" s="751"/>
      <c r="I34" s="751"/>
      <c r="J34" s="751"/>
      <c r="K34" s="751"/>
      <c r="L34" s="751"/>
      <c r="M34" s="751"/>
      <c r="N34" s="751"/>
      <c r="O34" s="751"/>
      <c r="P34" s="751"/>
      <c r="Q34" s="751"/>
      <c r="R34" s="751"/>
      <c r="S34" s="8"/>
      <c r="T34" s="1119"/>
    </row>
    <row r="35" spans="2:20">
      <c r="B35" s="740"/>
      <c r="C35" s="751"/>
      <c r="D35" s="751"/>
      <c r="E35" s="751"/>
      <c r="F35" s="751"/>
      <c r="G35" s="751"/>
      <c r="H35" s="751"/>
      <c r="I35" s="751"/>
      <c r="J35" s="751"/>
      <c r="K35" s="751"/>
      <c r="L35" s="751"/>
      <c r="M35" s="751"/>
      <c r="N35" s="751"/>
      <c r="O35" s="751"/>
      <c r="P35" s="751"/>
      <c r="Q35" s="751"/>
      <c r="R35" s="751"/>
      <c r="S35" s="8"/>
      <c r="T35" s="1119"/>
    </row>
    <row r="36" spans="2:20">
      <c r="B36" s="740"/>
      <c r="C36" s="751"/>
      <c r="D36" s="751"/>
      <c r="E36" s="751"/>
      <c r="F36" s="751"/>
      <c r="G36" s="751"/>
      <c r="H36" s="751"/>
      <c r="I36" s="751"/>
      <c r="J36" s="751"/>
      <c r="K36" s="751"/>
      <c r="L36" s="751"/>
      <c r="M36" s="751"/>
      <c r="N36" s="751"/>
      <c r="O36" s="751"/>
      <c r="P36" s="751"/>
      <c r="Q36" s="751"/>
      <c r="R36" s="751"/>
      <c r="S36" s="8"/>
      <c r="T36" s="1119"/>
    </row>
    <row r="37" spans="2:20">
      <c r="B37" s="740"/>
      <c r="C37" s="751"/>
      <c r="D37" s="751"/>
      <c r="E37" s="751"/>
      <c r="F37" s="751"/>
      <c r="G37" s="751"/>
      <c r="H37" s="751"/>
      <c r="I37" s="751"/>
      <c r="J37" s="751"/>
      <c r="K37" s="751"/>
      <c r="L37" s="751"/>
      <c r="M37" s="751"/>
      <c r="N37" s="751"/>
      <c r="O37" s="751"/>
      <c r="P37" s="751"/>
      <c r="Q37" s="751"/>
      <c r="R37" s="751"/>
      <c r="S37" s="8"/>
      <c r="T37" s="1119"/>
    </row>
    <row r="38" spans="2:20">
      <c r="B38" s="740"/>
      <c r="C38" s="751"/>
      <c r="D38" s="751"/>
      <c r="E38" s="751"/>
      <c r="F38" s="751"/>
      <c r="G38" s="751"/>
      <c r="H38" s="751"/>
      <c r="I38" s="751"/>
      <c r="J38" s="751"/>
      <c r="K38" s="751"/>
      <c r="L38" s="751"/>
      <c r="M38" s="751"/>
      <c r="N38" s="751"/>
      <c r="O38" s="751"/>
      <c r="P38" s="751"/>
      <c r="Q38" s="751"/>
      <c r="R38" s="751"/>
      <c r="S38" s="8"/>
      <c r="T38" s="1119"/>
    </row>
    <row r="39" spans="2:20">
      <c r="B39" s="740"/>
      <c r="C39" s="751"/>
      <c r="D39" s="751"/>
      <c r="E39" s="751"/>
      <c r="F39" s="751"/>
      <c r="G39" s="751"/>
      <c r="H39" s="751"/>
      <c r="I39" s="751"/>
      <c r="J39" s="751"/>
      <c r="K39" s="751"/>
      <c r="L39" s="751"/>
      <c r="M39" s="751"/>
      <c r="N39" s="751"/>
      <c r="O39" s="751"/>
      <c r="P39" s="751"/>
      <c r="Q39" s="751"/>
      <c r="R39" s="751"/>
      <c r="S39" s="8"/>
    </row>
    <row r="40" spans="2:20">
      <c r="B40" s="740"/>
      <c r="C40" s="751"/>
      <c r="D40" s="751"/>
      <c r="E40" s="751"/>
      <c r="F40" s="751"/>
      <c r="G40" s="751"/>
      <c r="H40" s="751"/>
      <c r="I40" s="751"/>
      <c r="J40" s="751"/>
      <c r="K40" s="751"/>
      <c r="L40" s="751"/>
      <c r="M40" s="751"/>
      <c r="N40" s="751"/>
      <c r="O40" s="751"/>
      <c r="P40" s="751"/>
      <c r="Q40" s="751"/>
      <c r="R40" s="751"/>
      <c r="S40" s="8"/>
    </row>
    <row r="41" spans="2:20">
      <c r="B41" s="740"/>
      <c r="C41" s="751"/>
      <c r="D41" s="751"/>
      <c r="E41" s="751"/>
      <c r="F41" s="751"/>
      <c r="G41" s="751"/>
      <c r="H41" s="751"/>
      <c r="I41" s="751"/>
      <c r="J41" s="751"/>
      <c r="K41" s="751"/>
      <c r="L41" s="751"/>
      <c r="M41" s="751"/>
      <c r="N41" s="751"/>
      <c r="O41" s="751"/>
      <c r="P41" s="751"/>
      <c r="Q41" s="751"/>
      <c r="R41" s="751"/>
      <c r="S41" s="8"/>
    </row>
    <row r="42" spans="2:20">
      <c r="B42" s="740"/>
      <c r="C42" s="751"/>
      <c r="D42" s="751"/>
      <c r="E42" s="751"/>
      <c r="F42" s="751"/>
      <c r="G42" s="751"/>
      <c r="H42" s="751"/>
      <c r="I42" s="751"/>
      <c r="J42" s="751"/>
      <c r="K42" s="751"/>
      <c r="L42" s="751"/>
      <c r="M42" s="751"/>
      <c r="N42" s="751"/>
      <c r="O42" s="751"/>
      <c r="P42" s="751"/>
      <c r="Q42" s="751"/>
      <c r="R42" s="751"/>
      <c r="S42" s="8"/>
    </row>
    <row r="43" spans="2:20">
      <c r="B43" s="740"/>
      <c r="C43" s="751"/>
      <c r="D43" s="751"/>
      <c r="E43" s="751"/>
      <c r="F43" s="751"/>
      <c r="G43" s="751"/>
      <c r="H43" s="751"/>
      <c r="I43" s="751"/>
      <c r="J43" s="751"/>
      <c r="K43" s="751"/>
      <c r="L43" s="751"/>
      <c r="M43" s="751"/>
      <c r="N43" s="751"/>
      <c r="O43" s="751"/>
      <c r="P43" s="751"/>
      <c r="Q43" s="751"/>
      <c r="R43" s="751"/>
      <c r="S43" s="8"/>
    </row>
    <row r="44" spans="2:20">
      <c r="B44" s="740"/>
      <c r="C44" s="751"/>
      <c r="D44" s="751"/>
      <c r="E44" s="751"/>
      <c r="F44" s="751"/>
      <c r="G44" s="751"/>
      <c r="H44" s="751"/>
      <c r="I44" s="751"/>
      <c r="J44" s="751"/>
      <c r="K44" s="751"/>
      <c r="L44" s="751"/>
      <c r="M44" s="751"/>
      <c r="N44" s="751"/>
      <c r="O44" s="751"/>
      <c r="P44" s="751"/>
      <c r="Q44" s="751"/>
      <c r="R44" s="751"/>
      <c r="S44" s="8"/>
    </row>
    <row r="45" spans="2:20">
      <c r="B45" s="740"/>
      <c r="C45" s="751"/>
      <c r="D45" s="751"/>
      <c r="E45" s="751"/>
      <c r="F45" s="751"/>
      <c r="G45" s="751"/>
      <c r="H45" s="751"/>
      <c r="I45" s="751"/>
      <c r="J45" s="751"/>
      <c r="K45" s="751"/>
      <c r="L45" s="751"/>
      <c r="M45" s="751"/>
      <c r="N45" s="751"/>
      <c r="O45" s="751"/>
      <c r="P45" s="751"/>
      <c r="Q45" s="751"/>
      <c r="R45" s="751"/>
      <c r="S45" s="8"/>
    </row>
    <row r="46" spans="2:20">
      <c r="B46" s="11"/>
      <c r="C46" s="9"/>
      <c r="D46" s="9"/>
      <c r="E46" s="9"/>
      <c r="F46" s="9"/>
      <c r="G46" s="9"/>
      <c r="H46" s="9"/>
      <c r="I46" s="9"/>
      <c r="J46" s="9"/>
      <c r="K46" s="9"/>
      <c r="L46" s="9"/>
      <c r="M46" s="9"/>
      <c r="N46" s="9"/>
      <c r="O46" s="9"/>
      <c r="P46" s="9"/>
      <c r="Q46" s="9"/>
      <c r="R46" s="9"/>
      <c r="S46" s="10"/>
    </row>
    <row r="47" spans="2:20">
      <c r="Q47" s="1119"/>
      <c r="R47" s="1119"/>
    </row>
    <row r="48" spans="2:20">
      <c r="Q48" s="1119"/>
      <c r="R48" s="1119"/>
    </row>
    <row r="49" spans="17:18">
      <c r="Q49" s="1119"/>
      <c r="R49" s="1119"/>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tabColor rgb="FFFFFF00"/>
  </sheetPr>
  <dimension ref="B5:L68"/>
  <sheetViews>
    <sheetView zoomScale="90" zoomScaleNormal="90" workbookViewId="0"/>
  </sheetViews>
  <sheetFormatPr baseColWidth="10" defaultColWidth="9.140625" defaultRowHeight="15"/>
  <cols>
    <col min="1" max="1" width="3.7109375" style="1117" customWidth="1"/>
    <col min="2" max="2" width="17.5703125" style="1117" bestFit="1" customWidth="1"/>
    <col min="3" max="3" width="23.5703125" style="1117" customWidth="1"/>
    <col min="4" max="4" width="3.7109375" style="1117" customWidth="1"/>
    <col min="5" max="5" width="17.28515625" style="1117" bestFit="1" customWidth="1"/>
    <col min="6" max="6" width="23.5703125" style="1117" customWidth="1"/>
    <col min="7" max="7" width="9.140625" style="1117"/>
    <col min="8" max="8" width="22.85546875" style="1117" customWidth="1"/>
    <col min="9" max="9" width="9.140625" style="1117"/>
    <col min="10" max="10" width="19.28515625" style="1117" bestFit="1" customWidth="1"/>
    <col min="11" max="11" width="7.28515625" style="1117" bestFit="1" customWidth="1"/>
    <col min="12" max="12" width="11.28515625" style="1117" bestFit="1" customWidth="1"/>
    <col min="13" max="16384" width="9.140625" style="1117"/>
  </cols>
  <sheetData>
    <row r="5" spans="2:12" ht="21">
      <c r="B5" s="1186" t="s">
        <v>1904</v>
      </c>
    </row>
    <row r="6" spans="2:12">
      <c r="B6" s="1117" t="s">
        <v>1903</v>
      </c>
    </row>
    <row r="7" spans="2:12">
      <c r="B7" s="1190" t="s">
        <v>30</v>
      </c>
    </row>
    <row r="9" spans="2:12">
      <c r="B9" s="1379" t="s">
        <v>1454</v>
      </c>
      <c r="C9" s="2091" t="e">
        <f ca="1">_xll.BDP(B9,"Name")</f>
        <v>#NAME?</v>
      </c>
      <c r="D9" s="2090" t="s">
        <v>1944</v>
      </c>
    </row>
    <row r="10" spans="2:12">
      <c r="J10" s="2090" t="s">
        <v>2015</v>
      </c>
    </row>
    <row r="11" spans="2:12">
      <c r="B11" s="1445" t="s">
        <v>1625</v>
      </c>
      <c r="C11" s="1754" t="s">
        <v>1626</v>
      </c>
      <c r="E11" s="1445" t="s">
        <v>1627</v>
      </c>
      <c r="F11" s="1754" t="s">
        <v>1628</v>
      </c>
      <c r="H11" s="1445" t="s">
        <v>2014</v>
      </c>
    </row>
    <row r="12" spans="2:12">
      <c r="B12" s="1379" t="s">
        <v>1222</v>
      </c>
      <c r="C12" s="1379" t="s">
        <v>1413</v>
      </c>
      <c r="E12" s="1379" t="s">
        <v>1221</v>
      </c>
      <c r="F12" s="1379" t="s">
        <v>1413</v>
      </c>
      <c r="H12" s="2124" t="s">
        <v>1321</v>
      </c>
      <c r="J12" s="2124" t="s">
        <v>1413</v>
      </c>
      <c r="K12" s="2124" t="s">
        <v>2012</v>
      </c>
      <c r="L12" s="2124" t="s">
        <v>2013</v>
      </c>
    </row>
    <row r="13" spans="2:12" s="1240" customFormat="1">
      <c r="B13" s="1755" t="e">
        <f ca="1">_xll.BChain(B9,B12,"")</f>
        <v>#NAME?</v>
      </c>
      <c r="C13" s="1756" t="e">
        <f ca="1">_xll.BDP(B13,$C$12)</f>
        <v>#NAME?</v>
      </c>
      <c r="D13" s="1117"/>
      <c r="E13" s="1755" t="e">
        <f ca="1">_xll.BChain(B9,E12,"")</f>
        <v>#NAME?</v>
      </c>
      <c r="F13" s="1756" t="e">
        <f ca="1">_xll.BDP($E13,F$12)</f>
        <v>#NAME?</v>
      </c>
      <c r="G13" s="1117"/>
      <c r="H13" s="1755" t="e">
        <f ca="1">_xll.BChain(H12,"Bonds","CPN &gt; 3","SortBy","AMT_OUTSTANDING(CURRENCY=USD)","SortOrder","Desc")</f>
        <v>#NAME?</v>
      </c>
      <c r="I13" s="2125"/>
      <c r="J13" s="2126" t="e">
        <f ca="1">_xll.BDP($H13,J$12)</f>
        <v>#NAME?</v>
      </c>
      <c r="K13" s="2126" t="e">
        <f ca="1">_xll.BDP($H13,K$12)</f>
        <v>#NAME?</v>
      </c>
      <c r="L13" s="2127" t="e">
        <f ca="1">_xll.BDP($H13,L$12)</f>
        <v>#NAME?</v>
      </c>
    </row>
    <row r="14" spans="2:12" s="1240" customFormat="1">
      <c r="B14" s="740"/>
      <c r="C14" s="1757" t="e">
        <f ca="1">_xll.BDP(B14,$C$12)</f>
        <v>#NAME?</v>
      </c>
      <c r="D14" s="1117"/>
      <c r="E14" s="740"/>
      <c r="F14" s="1757" t="e">
        <f ca="1">_xll.BDP($E14,F$12)</f>
        <v>#NAME?</v>
      </c>
      <c r="G14" s="1117"/>
      <c r="H14" s="2030"/>
      <c r="I14" s="2032"/>
      <c r="J14" s="2128" t="e">
        <f ca="1">_xll.BDP($H14,J$12)</f>
        <v>#NAME?</v>
      </c>
      <c r="K14" s="2128" t="e">
        <f ca="1">_xll.BDP($H14,K$12)</f>
        <v>#NAME?</v>
      </c>
      <c r="L14" s="2129" t="e">
        <f ca="1">_xll.BDP($H14,L$12)</f>
        <v>#NAME?</v>
      </c>
    </row>
    <row r="15" spans="2:12" s="1240" customFormat="1">
      <c r="B15" s="740"/>
      <c r="C15" s="1757" t="e">
        <f ca="1">_xll.BDP(B15,$C$12)</f>
        <v>#NAME?</v>
      </c>
      <c r="D15" s="1117"/>
      <c r="E15" s="740"/>
      <c r="F15" s="1757" t="e">
        <f ca="1">_xll.BDP($E15,F$12)</f>
        <v>#NAME?</v>
      </c>
      <c r="G15" s="1117"/>
      <c r="H15" s="2030"/>
      <c r="I15" s="2032"/>
      <c r="J15" s="2128" t="e">
        <f ca="1">_xll.BDP($H15,J$12)</f>
        <v>#NAME?</v>
      </c>
      <c r="K15" s="2128" t="e">
        <f ca="1">_xll.BDP($H15,K$12)</f>
        <v>#NAME?</v>
      </c>
      <c r="L15" s="2129" t="e">
        <f ca="1">_xll.BDP($H15,L$12)</f>
        <v>#NAME?</v>
      </c>
    </row>
    <row r="16" spans="2:12" s="1240" customFormat="1">
      <c r="B16" s="740"/>
      <c r="C16" s="1757" t="e">
        <f ca="1">_xll.BDP(B16,$C$12)</f>
        <v>#NAME?</v>
      </c>
      <c r="D16" s="1117"/>
      <c r="E16" s="740"/>
      <c r="F16" s="1757" t="e">
        <f ca="1">_xll.BDP($E16,F$12)</f>
        <v>#NAME?</v>
      </c>
      <c r="G16" s="1117"/>
      <c r="H16" s="2030"/>
      <c r="I16" s="2032"/>
      <c r="J16" s="2128" t="e">
        <f ca="1">_xll.BDP($H16,J$12)</f>
        <v>#NAME?</v>
      </c>
      <c r="K16" s="2128" t="e">
        <f ca="1">_xll.BDP($H16,K$12)</f>
        <v>#NAME?</v>
      </c>
      <c r="L16" s="2129" t="e">
        <f ca="1">_xll.BDP($H16,L$12)</f>
        <v>#NAME?</v>
      </c>
    </row>
    <row r="17" spans="2:12" s="1240" customFormat="1">
      <c r="B17" s="740"/>
      <c r="C17" s="1757" t="e">
        <f ca="1">_xll.BDP(B17,$C$12)</f>
        <v>#NAME?</v>
      </c>
      <c r="D17" s="1117"/>
      <c r="E17" s="740"/>
      <c r="F17" s="1757" t="e">
        <f ca="1">_xll.BDP($E17,F$12)</f>
        <v>#NAME?</v>
      </c>
      <c r="G17" s="1117"/>
      <c r="H17" s="2030"/>
      <c r="I17" s="2032"/>
      <c r="J17" s="2128" t="e">
        <f ca="1">_xll.BDP($H17,J$12)</f>
        <v>#NAME?</v>
      </c>
      <c r="K17" s="2128" t="e">
        <f ca="1">_xll.BDP($H17,K$12)</f>
        <v>#NAME?</v>
      </c>
      <c r="L17" s="2129" t="e">
        <f ca="1">_xll.BDP($H17,L$12)</f>
        <v>#NAME?</v>
      </c>
    </row>
    <row r="18" spans="2:12" s="1240" customFormat="1">
      <c r="B18" s="740"/>
      <c r="C18" s="1757" t="e">
        <f ca="1">_xll.BDP(B18,$C$12)</f>
        <v>#NAME?</v>
      </c>
      <c r="D18" s="1117"/>
      <c r="E18" s="740"/>
      <c r="F18" s="1757" t="e">
        <f ca="1">_xll.BDP($E18,F$12)</f>
        <v>#NAME?</v>
      </c>
      <c r="G18" s="1117"/>
      <c r="H18" s="2030"/>
      <c r="I18" s="2032"/>
      <c r="J18" s="2128" t="e">
        <f ca="1">_xll.BDP($H18,J$12)</f>
        <v>#NAME?</v>
      </c>
      <c r="K18" s="2128" t="e">
        <f ca="1">_xll.BDP($H18,K$12)</f>
        <v>#NAME?</v>
      </c>
      <c r="L18" s="2129" t="e">
        <f ca="1">_xll.BDP($H18,L$12)</f>
        <v>#NAME?</v>
      </c>
    </row>
    <row r="19" spans="2:12" s="1240" customFormat="1">
      <c r="B19" s="740"/>
      <c r="C19" s="1757" t="e">
        <f ca="1">_xll.BDP(B19,$C$12)</f>
        <v>#NAME?</v>
      </c>
      <c r="D19" s="1117"/>
      <c r="E19" s="740"/>
      <c r="F19" s="1757" t="e">
        <f ca="1">_xll.BDP($E19,F$12)</f>
        <v>#NAME?</v>
      </c>
      <c r="G19" s="1117"/>
      <c r="H19" s="2030"/>
      <c r="I19" s="2032"/>
      <c r="J19" s="2128" t="e">
        <f ca="1">_xll.BDP($H19,J$12)</f>
        <v>#NAME?</v>
      </c>
      <c r="K19" s="2128" t="e">
        <f ca="1">_xll.BDP($H19,K$12)</f>
        <v>#NAME?</v>
      </c>
      <c r="L19" s="2129" t="e">
        <f ca="1">_xll.BDP($H19,L$12)</f>
        <v>#NAME?</v>
      </c>
    </row>
    <row r="20" spans="2:12" s="1240" customFormat="1">
      <c r="B20" s="740"/>
      <c r="C20" s="1757" t="e">
        <f ca="1">_xll.BDP(B20,$C$12)</f>
        <v>#NAME?</v>
      </c>
      <c r="D20" s="1117"/>
      <c r="E20" s="740"/>
      <c r="F20" s="1757" t="e">
        <f ca="1">_xll.BDP($E20,F$12)</f>
        <v>#NAME?</v>
      </c>
      <c r="G20" s="1117"/>
      <c r="H20" s="2030"/>
      <c r="I20" s="2032"/>
      <c r="J20" s="2128" t="e">
        <f ca="1">_xll.BDP($H20,J$12)</f>
        <v>#NAME?</v>
      </c>
      <c r="K20" s="2128" t="e">
        <f ca="1">_xll.BDP($H20,K$12)</f>
        <v>#NAME?</v>
      </c>
      <c r="L20" s="2129" t="e">
        <f ca="1">_xll.BDP($H20,L$12)</f>
        <v>#NAME?</v>
      </c>
    </row>
    <row r="21" spans="2:12" s="1240" customFormat="1">
      <c r="B21" s="740"/>
      <c r="C21" s="1757" t="e">
        <f ca="1">_xll.BDP(B21,$C$12)</f>
        <v>#NAME?</v>
      </c>
      <c r="D21" s="1117"/>
      <c r="E21" s="740"/>
      <c r="F21" s="1757" t="e">
        <f ca="1">_xll.BDP($E21,F$12)</f>
        <v>#NAME?</v>
      </c>
      <c r="G21" s="1117"/>
      <c r="H21" s="2030"/>
      <c r="I21" s="2032"/>
      <c r="J21" s="2128" t="e">
        <f ca="1">_xll.BDP($H21,J$12)</f>
        <v>#NAME?</v>
      </c>
      <c r="K21" s="2128" t="e">
        <f ca="1">_xll.BDP($H21,K$12)</f>
        <v>#NAME?</v>
      </c>
      <c r="L21" s="2129" t="e">
        <f ca="1">_xll.BDP($H21,L$12)</f>
        <v>#NAME?</v>
      </c>
    </row>
    <row r="22" spans="2:12" s="1240" customFormat="1">
      <c r="B22" s="740"/>
      <c r="C22" s="1757" t="e">
        <f ca="1">_xll.BDP(B22,$C$12)</f>
        <v>#NAME?</v>
      </c>
      <c r="D22" s="1117"/>
      <c r="E22" s="740"/>
      <c r="F22" s="1757" t="e">
        <f ca="1">_xll.BDP($E22,F$12)</f>
        <v>#NAME?</v>
      </c>
      <c r="G22" s="1117"/>
      <c r="H22" s="2030"/>
      <c r="I22" s="2032"/>
      <c r="J22" s="2128" t="e">
        <f ca="1">_xll.BDP($H22,J$12)</f>
        <v>#NAME?</v>
      </c>
      <c r="K22" s="2128" t="e">
        <f ca="1">_xll.BDP($H22,K$12)</f>
        <v>#NAME?</v>
      </c>
      <c r="L22" s="2129" t="e">
        <f ca="1">_xll.BDP($H22,L$12)</f>
        <v>#NAME?</v>
      </c>
    </row>
    <row r="23" spans="2:12" s="1240" customFormat="1">
      <c r="B23" s="740"/>
      <c r="C23" s="1757" t="e">
        <f ca="1">_xll.BDP(B23,$C$12)</f>
        <v>#NAME?</v>
      </c>
      <c r="D23" s="1117"/>
      <c r="E23" s="740"/>
      <c r="F23" s="1757" t="e">
        <f ca="1">_xll.BDP($E23,F$12)</f>
        <v>#NAME?</v>
      </c>
      <c r="G23" s="1117"/>
      <c r="H23" s="2030"/>
      <c r="I23" s="2032"/>
      <c r="J23" s="2128" t="e">
        <f ca="1">_xll.BDP($H23,J$12)</f>
        <v>#NAME?</v>
      </c>
      <c r="K23" s="2128" t="e">
        <f ca="1">_xll.BDP($H23,K$12)</f>
        <v>#NAME?</v>
      </c>
      <c r="L23" s="2129" t="e">
        <f ca="1">_xll.BDP($H23,L$12)</f>
        <v>#NAME?</v>
      </c>
    </row>
    <row r="24" spans="2:12" s="1240" customFormat="1">
      <c r="B24" s="740"/>
      <c r="C24" s="1757" t="e">
        <f ca="1">_xll.BDP(B24,$C$12)</f>
        <v>#NAME?</v>
      </c>
      <c r="D24" s="1117"/>
      <c r="E24" s="740"/>
      <c r="F24" s="1757" t="e">
        <f ca="1">_xll.BDP($E24,F$12)</f>
        <v>#NAME?</v>
      </c>
      <c r="G24" s="1117"/>
      <c r="H24" s="2030"/>
      <c r="I24" s="2032"/>
      <c r="J24" s="2128" t="e">
        <f ca="1">_xll.BDP($H24,J$12)</f>
        <v>#NAME?</v>
      </c>
      <c r="K24" s="2128" t="e">
        <f ca="1">_xll.BDP($H24,K$12)</f>
        <v>#NAME?</v>
      </c>
      <c r="L24" s="2129" t="e">
        <f ca="1">_xll.BDP($H24,L$12)</f>
        <v>#NAME?</v>
      </c>
    </row>
    <row r="25" spans="2:12" s="1240" customFormat="1">
      <c r="B25" s="740"/>
      <c r="C25" s="8"/>
      <c r="D25" s="1117"/>
      <c r="E25" s="740"/>
      <c r="F25" s="1757" t="e">
        <f ca="1">_xll.BDP($E25,F$12)</f>
        <v>#NAME?</v>
      </c>
      <c r="G25" s="1117"/>
      <c r="H25" s="2030"/>
      <c r="I25" s="2032"/>
      <c r="J25" s="2128" t="e">
        <f ca="1">_xll.BDP($H25,J$12)</f>
        <v>#NAME?</v>
      </c>
      <c r="K25" s="2128" t="e">
        <f ca="1">_xll.BDP($H25,K$12)</f>
        <v>#NAME?</v>
      </c>
      <c r="L25" s="2129" t="e">
        <f ca="1">_xll.BDP($H25,L$12)</f>
        <v>#NAME?</v>
      </c>
    </row>
    <row r="26" spans="2:12" s="1240" customFormat="1">
      <c r="B26" s="740"/>
      <c r="C26" s="8"/>
      <c r="D26" s="1117"/>
      <c r="E26" s="740"/>
      <c r="F26" s="1757" t="e">
        <f ca="1">_xll.BDP($E26,F$12)</f>
        <v>#NAME?</v>
      </c>
      <c r="G26" s="1117"/>
      <c r="H26" s="2030"/>
      <c r="I26" s="2032"/>
      <c r="J26" s="2128" t="e">
        <f ca="1">_xll.BDP($H26,J$12)</f>
        <v>#NAME?</v>
      </c>
      <c r="K26" s="2128" t="e">
        <f ca="1">_xll.BDP($H26,K$12)</f>
        <v>#NAME?</v>
      </c>
      <c r="L26" s="2129" t="e">
        <f ca="1">_xll.BDP($H26,L$12)</f>
        <v>#NAME?</v>
      </c>
    </row>
    <row r="27" spans="2:12" s="1240" customFormat="1">
      <c r="B27" s="740"/>
      <c r="C27" s="8"/>
      <c r="D27" s="1117"/>
      <c r="E27" s="740"/>
      <c r="F27" s="1757" t="e">
        <f ca="1">_xll.BDP($E27,F$12)</f>
        <v>#NAME?</v>
      </c>
      <c r="G27" s="1117"/>
      <c r="H27" s="2030"/>
      <c r="I27" s="2032"/>
      <c r="J27" s="2128" t="e">
        <f ca="1">_xll.BDP($H27,J$12)</f>
        <v>#NAME?</v>
      </c>
      <c r="K27" s="2128" t="e">
        <f ca="1">_xll.BDP($H27,K$12)</f>
        <v>#NAME?</v>
      </c>
      <c r="L27" s="2129" t="e">
        <f ca="1">_xll.BDP($H27,L$12)</f>
        <v>#NAME?</v>
      </c>
    </row>
    <row r="28" spans="2:12" s="1240" customFormat="1">
      <c r="B28" s="740"/>
      <c r="C28" s="8"/>
      <c r="D28" s="1117"/>
      <c r="E28" s="740"/>
      <c r="F28" s="1757" t="e">
        <f ca="1">_xll.BDP($E28,F$12)</f>
        <v>#NAME?</v>
      </c>
      <c r="G28" s="1117"/>
      <c r="H28" s="2030"/>
      <c r="I28" s="2032"/>
      <c r="J28" s="2128" t="e">
        <f ca="1">_xll.BDP($H28,J$12)</f>
        <v>#NAME?</v>
      </c>
      <c r="K28" s="2128" t="e">
        <f ca="1">_xll.BDP($H28,K$12)</f>
        <v>#NAME?</v>
      </c>
      <c r="L28" s="2129" t="e">
        <f ca="1">_xll.BDP($H28,L$12)</f>
        <v>#NAME?</v>
      </c>
    </row>
    <row r="29" spans="2:12" s="1240" customFormat="1">
      <c r="B29" s="740"/>
      <c r="C29" s="8"/>
      <c r="D29" s="1117"/>
      <c r="E29" s="740"/>
      <c r="F29" s="1757" t="e">
        <f ca="1">_xll.BDP($E29,F$12)</f>
        <v>#NAME?</v>
      </c>
      <c r="G29" s="1117"/>
      <c r="H29" s="2030"/>
      <c r="I29" s="2032"/>
      <c r="J29" s="2032"/>
      <c r="K29" s="2032"/>
      <c r="L29" s="2130"/>
    </row>
    <row r="30" spans="2:12" s="1240" customFormat="1">
      <c r="B30" s="740"/>
      <c r="C30" s="8"/>
      <c r="D30" s="1117"/>
      <c r="E30" s="740"/>
      <c r="F30" s="1757" t="e">
        <f ca="1">_xll.BDP($E30,F$12)</f>
        <v>#NAME?</v>
      </c>
      <c r="G30" s="1117"/>
      <c r="H30" s="2030"/>
      <c r="I30" s="2032"/>
      <c r="J30" s="2032"/>
      <c r="K30" s="2032"/>
      <c r="L30" s="2130"/>
    </row>
    <row r="31" spans="2:12" s="1240" customFormat="1">
      <c r="B31" s="740"/>
      <c r="C31" s="8"/>
      <c r="D31" s="1117"/>
      <c r="E31" s="740"/>
      <c r="F31" s="1757" t="e">
        <f ca="1">_xll.BDP($E31,F$12)</f>
        <v>#NAME?</v>
      </c>
      <c r="G31" s="1117"/>
      <c r="H31" s="2030"/>
      <c r="I31" s="2032"/>
      <c r="J31" s="2032"/>
      <c r="K31" s="2032"/>
      <c r="L31" s="2130"/>
    </row>
    <row r="32" spans="2:12" s="1240" customFormat="1">
      <c r="B32" s="740"/>
      <c r="C32" s="8"/>
      <c r="D32" s="1117"/>
      <c r="E32" s="740"/>
      <c r="F32" s="1757" t="e">
        <f ca="1">_xll.BDP($E32,F$12)</f>
        <v>#NAME?</v>
      </c>
      <c r="G32" s="1117"/>
      <c r="H32" s="2030"/>
      <c r="I32" s="2032"/>
      <c r="J32" s="2032"/>
      <c r="K32" s="2032"/>
      <c r="L32" s="2130"/>
    </row>
    <row r="33" spans="2:12" s="1240" customFormat="1">
      <c r="B33" s="740"/>
      <c r="C33" s="8"/>
      <c r="D33" s="1117"/>
      <c r="E33" s="740"/>
      <c r="F33" s="1757" t="e">
        <f ca="1">_xll.BDP($E33,F$12)</f>
        <v>#NAME?</v>
      </c>
      <c r="G33" s="1117"/>
      <c r="H33" s="2030"/>
      <c r="I33" s="2032"/>
      <c r="J33" s="2032"/>
      <c r="K33" s="2032"/>
      <c r="L33" s="2130"/>
    </row>
    <row r="34" spans="2:12" s="1240" customFormat="1">
      <c r="B34" s="740"/>
      <c r="C34" s="8"/>
      <c r="D34" s="1117"/>
      <c r="E34" s="740"/>
      <c r="F34" s="1757" t="e">
        <f ca="1">_xll.BDP($E34,F$12)</f>
        <v>#NAME?</v>
      </c>
      <c r="G34" s="1117"/>
      <c r="H34" s="2131"/>
      <c r="I34" s="2132"/>
      <c r="J34" s="2132"/>
      <c r="K34" s="2132"/>
      <c r="L34" s="2133"/>
    </row>
    <row r="35" spans="2:12" s="1240" customFormat="1">
      <c r="B35" s="740"/>
      <c r="C35" s="8"/>
      <c r="D35" s="1117"/>
      <c r="E35" s="740"/>
      <c r="F35" s="1757" t="e">
        <f ca="1">_xll.BDP($E35,F$12)</f>
        <v>#NAME?</v>
      </c>
      <c r="G35" s="1117"/>
    </row>
    <row r="36" spans="2:12" s="1240" customFormat="1">
      <c r="B36" s="740"/>
      <c r="C36" s="8"/>
      <c r="D36" s="1117"/>
      <c r="E36" s="740"/>
      <c r="F36" s="1757" t="e">
        <f ca="1">_xll.BDP($E36,F$12)</f>
        <v>#NAME?</v>
      </c>
      <c r="G36" s="1117"/>
    </row>
    <row r="37" spans="2:12" s="1240" customFormat="1">
      <c r="B37" s="740"/>
      <c r="C37" s="8"/>
      <c r="D37" s="1117"/>
      <c r="E37" s="740"/>
      <c r="F37" s="1757" t="e">
        <f ca="1">_xll.BDP($E37,F$12)</f>
        <v>#NAME?</v>
      </c>
      <c r="G37" s="1117"/>
    </row>
    <row r="38" spans="2:12" s="1240" customFormat="1">
      <c r="B38" s="740"/>
      <c r="C38" s="8"/>
      <c r="D38" s="1117"/>
      <c r="E38" s="740"/>
      <c r="F38" s="1757" t="e">
        <f ca="1">_xll.BDP($E38,F$12)</f>
        <v>#NAME?</v>
      </c>
      <c r="G38" s="1117"/>
    </row>
    <row r="39" spans="2:12" s="1240" customFormat="1">
      <c r="B39" s="740"/>
      <c r="C39" s="8"/>
      <c r="D39" s="1117"/>
      <c r="E39" s="740"/>
      <c r="F39" s="1757" t="e">
        <f ca="1">_xll.BDP($E39,F$12)</f>
        <v>#NAME?</v>
      </c>
      <c r="G39" s="1117"/>
    </row>
    <row r="40" spans="2:12" s="1240" customFormat="1">
      <c r="B40" s="740"/>
      <c r="C40" s="8"/>
      <c r="D40" s="1117"/>
      <c r="E40" s="740"/>
      <c r="F40" s="1757" t="e">
        <f ca="1">_xll.BDP($E40,F$12)</f>
        <v>#NAME?</v>
      </c>
      <c r="G40" s="1117"/>
    </row>
    <row r="41" spans="2:12" s="1240" customFormat="1">
      <c r="B41" s="740"/>
      <c r="C41" s="8"/>
      <c r="D41" s="1117"/>
      <c r="E41" s="740"/>
      <c r="F41" s="1757" t="e">
        <f ca="1">_xll.BDP($E41,F$12)</f>
        <v>#NAME?</v>
      </c>
      <c r="G41" s="1117"/>
    </row>
    <row r="42" spans="2:12" s="1240" customFormat="1">
      <c r="B42" s="740"/>
      <c r="C42" s="8"/>
      <c r="D42" s="1117"/>
      <c r="E42" s="740"/>
      <c r="F42" s="1757" t="e">
        <f ca="1">_xll.BDP($E42,F$12)</f>
        <v>#NAME?</v>
      </c>
      <c r="G42" s="1117"/>
    </row>
    <row r="43" spans="2:12" s="1240" customFormat="1">
      <c r="B43" s="740"/>
      <c r="C43" s="8"/>
      <c r="D43" s="1117"/>
      <c r="E43" s="740"/>
      <c r="F43" s="1757" t="e">
        <f ca="1">_xll.BDP($E43,F$12)</f>
        <v>#NAME?</v>
      </c>
      <c r="G43" s="1117"/>
    </row>
    <row r="44" spans="2:12" s="1240" customFormat="1">
      <c r="B44" s="740"/>
      <c r="C44" s="8"/>
      <c r="D44" s="1117"/>
      <c r="E44" s="740"/>
      <c r="F44" s="1757" t="e">
        <f ca="1">_xll.BDP($E44,F$12)</f>
        <v>#NAME?</v>
      </c>
      <c r="G44" s="1117"/>
    </row>
    <row r="45" spans="2:12" s="1240" customFormat="1">
      <c r="B45" s="740"/>
      <c r="C45" s="8"/>
      <c r="D45" s="1117"/>
      <c r="E45" s="740"/>
      <c r="F45" s="1757" t="e">
        <f ca="1">_xll.BDP($E45,F$12)</f>
        <v>#NAME?</v>
      </c>
      <c r="G45" s="1117"/>
    </row>
    <row r="46" spans="2:12" s="1240" customFormat="1">
      <c r="B46" s="740"/>
      <c r="C46" s="8"/>
      <c r="D46" s="1117"/>
      <c r="E46" s="740"/>
      <c r="F46" s="1757" t="e">
        <f ca="1">_xll.BDP($E46,F$12)</f>
        <v>#NAME?</v>
      </c>
      <c r="G46" s="1117"/>
    </row>
    <row r="47" spans="2:12" s="1240" customFormat="1">
      <c r="B47" s="740"/>
      <c r="C47" s="8"/>
      <c r="D47" s="1117"/>
      <c r="E47" s="740"/>
      <c r="F47" s="1757" t="e">
        <f ca="1">_xll.BDP($E47,F$12)</f>
        <v>#NAME?</v>
      </c>
      <c r="G47" s="1117"/>
    </row>
    <row r="48" spans="2:12" s="1240" customFormat="1">
      <c r="B48" s="740"/>
      <c r="C48" s="8"/>
      <c r="D48" s="1117"/>
      <c r="E48" s="740"/>
      <c r="F48" s="1757" t="e">
        <f ca="1">_xll.BDP($E48,F$12)</f>
        <v>#NAME?</v>
      </c>
      <c r="G48" s="1117"/>
    </row>
    <row r="49" spans="2:7" s="1240" customFormat="1">
      <c r="B49" s="740"/>
      <c r="C49" s="8"/>
      <c r="D49" s="1117"/>
      <c r="E49" s="740"/>
      <c r="F49" s="1757" t="e">
        <f ca="1">_xll.BDP($E49,F$12)</f>
        <v>#NAME?</v>
      </c>
      <c r="G49" s="1117"/>
    </row>
    <row r="50" spans="2:7" s="1240" customFormat="1">
      <c r="B50" s="740"/>
      <c r="C50" s="8"/>
      <c r="D50" s="1117"/>
      <c r="E50" s="740"/>
      <c r="F50" s="1757" t="e">
        <f ca="1">_xll.BDP($E50,F$12)</f>
        <v>#NAME?</v>
      </c>
      <c r="G50" s="1117"/>
    </row>
    <row r="51" spans="2:7" s="1240" customFormat="1">
      <c r="B51" s="740"/>
      <c r="C51" s="8"/>
      <c r="D51" s="1117"/>
      <c r="E51" s="740"/>
      <c r="F51" s="1757" t="e">
        <f ca="1">_xll.BDP($E51,F$12)</f>
        <v>#NAME?</v>
      </c>
      <c r="G51" s="1117"/>
    </row>
    <row r="52" spans="2:7" s="1240" customFormat="1">
      <c r="B52" s="740"/>
      <c r="C52" s="8"/>
      <c r="D52" s="1117"/>
      <c r="E52" s="740"/>
      <c r="F52" s="1757" t="e">
        <f ca="1">_xll.BDP($E52,F$12)</f>
        <v>#NAME?</v>
      </c>
      <c r="G52" s="1117"/>
    </row>
    <row r="53" spans="2:7" s="1240" customFormat="1">
      <c r="B53" s="740"/>
      <c r="C53" s="8"/>
      <c r="D53" s="1117"/>
      <c r="E53" s="740"/>
      <c r="F53" s="1757" t="e">
        <f ca="1">_xll.BDP($E53,F$12)</f>
        <v>#NAME?</v>
      </c>
      <c r="G53" s="1117"/>
    </row>
    <row r="54" spans="2:7" s="1240" customFormat="1">
      <c r="B54" s="740"/>
      <c r="C54" s="8"/>
      <c r="D54" s="1117"/>
      <c r="E54" s="740"/>
      <c r="F54" s="1757" t="e">
        <f ca="1">_xll.BDP($E54,F$12)</f>
        <v>#NAME?</v>
      </c>
      <c r="G54" s="1117"/>
    </row>
    <row r="55" spans="2:7" s="1240" customFormat="1">
      <c r="B55" s="740"/>
      <c r="C55" s="8"/>
      <c r="D55" s="1117"/>
      <c r="E55" s="740"/>
      <c r="F55" s="1757" t="e">
        <f ca="1">_xll.BDP($E55,F$12)</f>
        <v>#NAME?</v>
      </c>
      <c r="G55" s="1117"/>
    </row>
    <row r="56" spans="2:7">
      <c r="B56" s="740"/>
      <c r="C56" s="8"/>
      <c r="E56" s="740"/>
      <c r="F56" s="8"/>
    </row>
    <row r="57" spans="2:7">
      <c r="B57" s="740"/>
      <c r="C57" s="8"/>
      <c r="E57" s="740"/>
      <c r="F57" s="8"/>
    </row>
    <row r="58" spans="2:7">
      <c r="B58" s="740"/>
      <c r="C58" s="8"/>
      <c r="E58" s="740"/>
      <c r="F58" s="8"/>
    </row>
    <row r="59" spans="2:7">
      <c r="B59" s="740"/>
      <c r="C59" s="8"/>
      <c r="E59" s="740"/>
      <c r="F59" s="8"/>
    </row>
    <row r="60" spans="2:7">
      <c r="B60" s="740"/>
      <c r="C60" s="8"/>
      <c r="E60" s="740"/>
      <c r="F60" s="8"/>
    </row>
    <row r="61" spans="2:7">
      <c r="B61" s="740"/>
      <c r="C61" s="8"/>
      <c r="E61" s="740"/>
      <c r="F61" s="8"/>
    </row>
    <row r="62" spans="2:7">
      <c r="B62" s="740"/>
      <c r="C62" s="8"/>
      <c r="E62" s="740"/>
      <c r="F62" s="8"/>
    </row>
    <row r="63" spans="2:7">
      <c r="B63" s="740"/>
      <c r="C63" s="8"/>
      <c r="E63" s="740"/>
      <c r="F63" s="8"/>
    </row>
    <row r="64" spans="2:7">
      <c r="B64" s="740"/>
      <c r="C64" s="8"/>
      <c r="E64" s="740"/>
      <c r="F64" s="8"/>
    </row>
    <row r="65" spans="2:6">
      <c r="B65" s="740"/>
      <c r="C65" s="8"/>
      <c r="E65" s="740"/>
      <c r="F65" s="8"/>
    </row>
    <row r="66" spans="2:6">
      <c r="B66" s="740"/>
      <c r="C66" s="8"/>
      <c r="E66" s="740"/>
      <c r="F66" s="8"/>
    </row>
    <row r="67" spans="2:6">
      <c r="B67" s="740"/>
      <c r="C67" s="8"/>
      <c r="E67" s="740"/>
      <c r="F67" s="8"/>
    </row>
    <row r="68" spans="2:6">
      <c r="B68" s="11"/>
      <c r="C68" s="10"/>
      <c r="E68" s="11"/>
      <c r="F68" s="10"/>
    </row>
  </sheetData>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rgb="FFFFFF00"/>
  </sheetPr>
  <dimension ref="A5:M72"/>
  <sheetViews>
    <sheetView zoomScale="90" zoomScaleNormal="90" workbookViewId="0"/>
  </sheetViews>
  <sheetFormatPr baseColWidth="10" defaultColWidth="9.140625" defaultRowHeight="15"/>
  <cols>
    <col min="1" max="1" width="3.7109375" style="1758" customWidth="1"/>
    <col min="2" max="2" width="15.140625" style="1758" customWidth="1"/>
    <col min="3" max="3" width="24.5703125" style="1758" customWidth="1"/>
    <col min="4" max="4" width="22.85546875" style="1758" customWidth="1"/>
    <col min="5" max="5" width="8.42578125" style="1758" customWidth="1"/>
    <col min="6" max="6" width="11.42578125" style="1759" bestFit="1" customWidth="1"/>
    <col min="7" max="7" width="12.42578125" style="1760" bestFit="1" customWidth="1"/>
    <col min="8" max="8" width="8.85546875" style="1758" customWidth="1"/>
    <col min="9" max="9" width="8.85546875" style="1761" customWidth="1"/>
    <col min="10" max="10" width="8.85546875" style="1759" customWidth="1"/>
    <col min="11" max="16" width="8.85546875" style="1758" customWidth="1"/>
    <col min="17" max="16384" width="9.140625" style="1758"/>
  </cols>
  <sheetData>
    <row r="5" spans="2:13" ht="21">
      <c r="B5" s="1477" t="s">
        <v>1394</v>
      </c>
    </row>
    <row r="6" spans="2:13">
      <c r="B6" s="1762" t="s">
        <v>1630</v>
      </c>
    </row>
    <row r="7" spans="2:13">
      <c r="B7" s="1763" t="s">
        <v>1395</v>
      </c>
    </row>
    <row r="8" spans="2:13" s="1154" customFormat="1">
      <c r="B8" s="1763" t="s">
        <v>1933</v>
      </c>
      <c r="F8" s="1764"/>
      <c r="G8" s="1765"/>
      <c r="I8" s="1766"/>
      <c r="J8" s="1764"/>
    </row>
    <row r="9" spans="2:13" s="1154" customFormat="1">
      <c r="B9" s="1767"/>
      <c r="F9" s="1764"/>
      <c r="G9" s="1765"/>
      <c r="I9" s="1766"/>
      <c r="J9" s="1764"/>
    </row>
    <row r="10" spans="2:13" s="1154" customFormat="1">
      <c r="B10" s="1768" t="s">
        <v>1523</v>
      </c>
      <c r="D10" s="1768" t="s">
        <v>1414</v>
      </c>
      <c r="F10" s="1764"/>
      <c r="G10" s="1765"/>
      <c r="I10" s="1766"/>
      <c r="J10" s="1764"/>
    </row>
    <row r="11" spans="2:13" s="1154" customFormat="1">
      <c r="C11" s="1196"/>
      <c r="E11" s="1769"/>
      <c r="F11" s="1764"/>
      <c r="G11" s="1769"/>
      <c r="I11" s="1766"/>
      <c r="J11" s="1764"/>
      <c r="M11" s="1770"/>
    </row>
    <row r="12" spans="2:13" s="1154" customFormat="1">
      <c r="B12" s="1771" t="str">
        <f>_xll.BSRCH("FI:Hungarian Govt Bonds")</f>
        <v>#N/A Problem accessing the saved search</v>
      </c>
      <c r="D12" s="1772" t="s">
        <v>1413</v>
      </c>
      <c r="E12" s="1621" t="s">
        <v>478</v>
      </c>
      <c r="F12" s="1773" t="s">
        <v>1348</v>
      </c>
      <c r="G12" s="1774"/>
      <c r="I12" s="1766"/>
      <c r="J12" s="1764"/>
    </row>
    <row r="13" spans="2:13" s="1154" customFormat="1">
      <c r="B13" s="1775"/>
      <c r="C13" s="1118"/>
      <c r="D13" s="1231" t="str">
        <f>_xll.BDP($B13,D$12)</f>
        <v>#N/A Invalid Security</v>
      </c>
      <c r="E13" s="1776" t="str">
        <f>_xll.BDP($B13,E$12)</f>
        <v>#N/A Invalid Security</v>
      </c>
      <c r="F13" s="1777" t="str">
        <f>_xll.BDP($B13,F$12)</f>
        <v>#N/A Invalid Security</v>
      </c>
      <c r="G13" s="1778"/>
    </row>
    <row r="14" spans="2:13" s="1154" customFormat="1">
      <c r="B14" s="1279"/>
      <c r="C14" s="1118"/>
      <c r="D14" s="1118" t="str">
        <f>_xll.BDP($B14,D$12)</f>
        <v>#N/A Invalid Security</v>
      </c>
      <c r="E14" s="1776" t="str">
        <f>_xll.BDP($B14,E$12)</f>
        <v>#N/A Invalid Security</v>
      </c>
      <c r="F14" s="1777" t="str">
        <f>_xll.BDP($B14,F$12)</f>
        <v>#N/A Invalid Security</v>
      </c>
      <c r="G14" s="1778"/>
    </row>
    <row r="15" spans="2:13" s="1154" customFormat="1">
      <c r="B15" s="1279"/>
      <c r="C15" s="1118"/>
      <c r="D15" s="1118" t="str">
        <f>_xll.BDP($B15,D$12)</f>
        <v>#N/A Invalid Security</v>
      </c>
      <c r="E15" s="1776" t="str">
        <f>_xll.BDP($B15,E$12)</f>
        <v>#N/A Invalid Security</v>
      </c>
      <c r="F15" s="1777" t="str">
        <f>_xll.BDP($B15,F$12)</f>
        <v>#N/A Invalid Security</v>
      </c>
      <c r="G15" s="1778"/>
    </row>
    <row r="16" spans="2:13" s="1154" customFormat="1">
      <c r="B16" s="1279"/>
      <c r="C16" s="1118"/>
      <c r="D16" s="1118" t="str">
        <f>_xll.BDP($B16,D$12)</f>
        <v>#N/A Invalid Security</v>
      </c>
      <c r="E16" s="1776" t="str">
        <f>_xll.BDP($B16,E$12)</f>
        <v>#N/A Invalid Security</v>
      </c>
      <c r="F16" s="1777" t="str">
        <f>_xll.BDP($B16,F$12)</f>
        <v>#N/A Invalid Security</v>
      </c>
      <c r="G16" s="1778"/>
    </row>
    <row r="17" spans="2:7" s="1154" customFormat="1">
      <c r="B17" s="1279"/>
      <c r="C17" s="1118"/>
      <c r="D17" s="1118" t="str">
        <f>_xll.BDP($B17,D$12)</f>
        <v>#N/A Invalid Security</v>
      </c>
      <c r="E17" s="1776" t="str">
        <f>_xll.BDP($B17,E$12)</f>
        <v>#N/A Invalid Security</v>
      </c>
      <c r="F17" s="1777" t="str">
        <f>_xll.BDP($B17,F$12)</f>
        <v>#N/A Invalid Security</v>
      </c>
      <c r="G17" s="1778"/>
    </row>
    <row r="18" spans="2:7" s="1154" customFormat="1">
      <c r="B18" s="1279"/>
      <c r="C18" s="1118"/>
      <c r="D18" s="1118" t="str">
        <f>_xll.BDP($B18,D$12)</f>
        <v>#N/A Invalid Security</v>
      </c>
      <c r="E18" s="1776" t="str">
        <f>_xll.BDP($B18,E$12)</f>
        <v>#N/A Invalid Security</v>
      </c>
      <c r="F18" s="1777" t="str">
        <f>_xll.BDP($B18,F$12)</f>
        <v>#N/A Invalid Security</v>
      </c>
      <c r="G18" s="1778"/>
    </row>
    <row r="19" spans="2:7" s="1154" customFormat="1">
      <c r="B19" s="1279"/>
      <c r="C19" s="1118"/>
      <c r="D19" s="1118" t="str">
        <f>_xll.BDP($B19,D$12)</f>
        <v>#N/A Invalid Security</v>
      </c>
      <c r="E19" s="1776" t="str">
        <f>_xll.BDP($B19,E$12)</f>
        <v>#N/A Invalid Security</v>
      </c>
      <c r="F19" s="1777" t="str">
        <f>_xll.BDP($B19,F$12)</f>
        <v>#N/A Invalid Security</v>
      </c>
      <c r="G19" s="1778"/>
    </row>
    <row r="20" spans="2:7" s="1154" customFormat="1">
      <c r="B20" s="1279"/>
      <c r="C20" s="1118"/>
      <c r="D20" s="1118" t="str">
        <f>_xll.BDP($B20,D$12)</f>
        <v>#N/A Invalid Security</v>
      </c>
      <c r="E20" s="1776" t="str">
        <f>_xll.BDP($B20,E$12)</f>
        <v>#N/A Invalid Security</v>
      </c>
      <c r="F20" s="1777" t="str">
        <f>_xll.BDP($B20,F$12)</f>
        <v>#N/A Invalid Security</v>
      </c>
      <c r="G20" s="1778"/>
    </row>
    <row r="21" spans="2:7" s="1154" customFormat="1">
      <c r="B21" s="1279"/>
      <c r="C21" s="1118"/>
      <c r="D21" s="1118" t="str">
        <f>_xll.BDP($B21,D$12)</f>
        <v>#N/A Invalid Security</v>
      </c>
      <c r="E21" s="1776" t="str">
        <f>_xll.BDP($B21,E$12)</f>
        <v>#N/A Invalid Security</v>
      </c>
      <c r="F21" s="1777" t="str">
        <f>_xll.BDP($B21,F$12)</f>
        <v>#N/A Invalid Security</v>
      </c>
      <c r="G21" s="1778"/>
    </row>
    <row r="22" spans="2:7" s="1154" customFormat="1">
      <c r="B22" s="1279"/>
      <c r="C22" s="1118"/>
      <c r="D22" s="1118" t="str">
        <f>_xll.BDP($B22,D$12)</f>
        <v>#N/A Invalid Security</v>
      </c>
      <c r="E22" s="1776" t="str">
        <f>_xll.BDP($B22,E$12)</f>
        <v>#N/A Invalid Security</v>
      </c>
      <c r="F22" s="1777" t="str">
        <f>_xll.BDP($B22,F$12)</f>
        <v>#N/A Invalid Security</v>
      </c>
      <c r="G22" s="1778"/>
    </row>
    <row r="23" spans="2:7" s="1154" customFormat="1">
      <c r="B23" s="1279"/>
      <c r="C23" s="1118"/>
      <c r="D23" s="1118" t="str">
        <f>_xll.BDP($B23,D$12)</f>
        <v>#N/A Invalid Security</v>
      </c>
      <c r="E23" s="1776" t="str">
        <f>_xll.BDP($B23,E$12)</f>
        <v>#N/A Invalid Security</v>
      </c>
      <c r="F23" s="1777" t="str">
        <f>_xll.BDP($B23,F$12)</f>
        <v>#N/A Invalid Security</v>
      </c>
      <c r="G23" s="1778"/>
    </row>
    <row r="24" spans="2:7" s="1154" customFormat="1">
      <c r="B24" s="1279"/>
      <c r="C24" s="1118"/>
      <c r="D24" s="1118" t="str">
        <f>_xll.BDP($B24,D$12)</f>
        <v>#N/A Invalid Security</v>
      </c>
      <c r="E24" s="1776" t="str">
        <f>_xll.BDP($B24,E$12)</f>
        <v>#N/A Invalid Security</v>
      </c>
      <c r="F24" s="1777" t="str">
        <f>_xll.BDP($B24,F$12)</f>
        <v>#N/A Invalid Security</v>
      </c>
      <c r="G24" s="1778"/>
    </row>
    <row r="25" spans="2:7" s="1154" customFormat="1">
      <c r="B25" s="1279"/>
      <c r="C25" s="1118"/>
      <c r="D25" s="1118" t="str">
        <f>_xll.BDP($B25,D$12)</f>
        <v>#N/A Invalid Security</v>
      </c>
      <c r="E25" s="1776" t="str">
        <f>_xll.BDP($B25,E$12)</f>
        <v>#N/A Invalid Security</v>
      </c>
      <c r="F25" s="1777" t="str">
        <f>_xll.BDP($B25,F$12)</f>
        <v>#N/A Invalid Security</v>
      </c>
      <c r="G25" s="1778"/>
    </row>
    <row r="26" spans="2:7" s="1154" customFormat="1">
      <c r="B26" s="1279"/>
      <c r="C26" s="1118"/>
      <c r="D26" s="1118" t="str">
        <f>_xll.BDP($B26,D$12)</f>
        <v>#N/A Invalid Security</v>
      </c>
      <c r="E26" s="1776" t="str">
        <f>_xll.BDP($B26,E$12)</f>
        <v>#N/A Invalid Security</v>
      </c>
      <c r="F26" s="1777" t="str">
        <f>_xll.BDP($B26,F$12)</f>
        <v>#N/A Invalid Security</v>
      </c>
      <c r="G26" s="1778"/>
    </row>
    <row r="27" spans="2:7" s="1154" customFormat="1">
      <c r="B27" s="1279"/>
      <c r="C27" s="1118"/>
      <c r="D27" s="1118" t="str">
        <f>_xll.BDP($B27,D$12)</f>
        <v>#N/A Invalid Security</v>
      </c>
      <c r="E27" s="1776" t="str">
        <f>_xll.BDP($B27,E$12)</f>
        <v>#N/A Invalid Security</v>
      </c>
      <c r="F27" s="1777" t="str">
        <f>_xll.BDP($B27,F$12)</f>
        <v>#N/A Invalid Security</v>
      </c>
      <c r="G27" s="1778"/>
    </row>
    <row r="28" spans="2:7" s="1154" customFormat="1">
      <c r="B28" s="1279"/>
      <c r="C28" s="1118"/>
      <c r="D28" s="1118" t="str">
        <f>_xll.BDP($B28,D$12)</f>
        <v>#N/A Invalid Security</v>
      </c>
      <c r="E28" s="1776" t="str">
        <f>_xll.BDP($B28,E$12)</f>
        <v>#N/A Invalid Security</v>
      </c>
      <c r="F28" s="1777" t="str">
        <f>_xll.BDP($B28,F$12)</f>
        <v>#N/A Invalid Security</v>
      </c>
      <c r="G28" s="1778"/>
    </row>
    <row r="29" spans="2:7" s="1154" customFormat="1">
      <c r="B29" s="1279"/>
      <c r="C29" s="1118"/>
      <c r="D29" s="1118" t="str">
        <f>_xll.BDP($B29,D$12)</f>
        <v>#N/A Invalid Security</v>
      </c>
      <c r="E29" s="1776" t="str">
        <f>_xll.BDP($B29,E$12)</f>
        <v>#N/A Invalid Security</v>
      </c>
      <c r="F29" s="1777" t="str">
        <f>_xll.BDP($B29,F$12)</f>
        <v>#N/A Invalid Security</v>
      </c>
      <c r="G29" s="1778"/>
    </row>
    <row r="30" spans="2:7" s="1154" customFormat="1">
      <c r="B30" s="1279"/>
      <c r="C30" s="1118"/>
      <c r="D30" s="1118" t="str">
        <f>_xll.BDP($B30,D$12)</f>
        <v>#N/A Invalid Security</v>
      </c>
      <c r="E30" s="1776" t="str">
        <f>_xll.BDP($B30,E$12)</f>
        <v>#N/A Invalid Security</v>
      </c>
      <c r="F30" s="1777" t="str">
        <f>_xll.BDP($B30,F$12)</f>
        <v>#N/A Invalid Security</v>
      </c>
      <c r="G30" s="1778"/>
    </row>
    <row r="31" spans="2:7" s="1154" customFormat="1">
      <c r="B31" s="1279"/>
      <c r="C31" s="1118"/>
      <c r="D31" s="1118" t="str">
        <f>_xll.BDP($B31,D$12)</f>
        <v>#N/A Invalid Security</v>
      </c>
      <c r="E31" s="1776" t="str">
        <f>_xll.BDP($B31,E$12)</f>
        <v>#N/A Invalid Security</v>
      </c>
      <c r="F31" s="1777" t="str">
        <f>_xll.BDP($B31,F$12)</f>
        <v>#N/A Invalid Security</v>
      </c>
      <c r="G31" s="1778"/>
    </row>
    <row r="32" spans="2:7" s="1154" customFormat="1">
      <c r="B32" s="1279"/>
      <c r="C32" s="1118"/>
      <c r="D32" s="1118"/>
      <c r="E32" s="1777"/>
      <c r="F32" s="1777"/>
      <c r="G32" s="1778"/>
    </row>
    <row r="33" spans="1:7" s="1154" customFormat="1">
      <c r="B33" s="1279"/>
      <c r="C33" s="1118"/>
      <c r="D33" s="1118"/>
      <c r="E33" s="1777"/>
      <c r="F33" s="1777"/>
      <c r="G33" s="1778"/>
    </row>
    <row r="34" spans="1:7" s="1154" customFormat="1">
      <c r="B34" s="1279"/>
      <c r="C34" s="1118"/>
      <c r="D34" s="1118"/>
      <c r="E34" s="1777"/>
      <c r="F34" s="1777"/>
      <c r="G34" s="1778"/>
    </row>
    <row r="35" spans="1:7" s="1154" customFormat="1">
      <c r="B35" s="1279"/>
      <c r="C35" s="1118"/>
      <c r="D35" s="1118"/>
      <c r="E35" s="1777"/>
      <c r="F35" s="1777"/>
      <c r="G35" s="1778"/>
    </row>
    <row r="36" spans="1:7" s="1154" customFormat="1">
      <c r="B36" s="1279"/>
      <c r="C36" s="1118"/>
      <c r="D36" s="1118"/>
      <c r="E36" s="1777"/>
      <c r="F36" s="1777"/>
      <c r="G36" s="1778"/>
    </row>
    <row r="37" spans="1:7" s="1154" customFormat="1">
      <c r="B37" s="1279"/>
      <c r="C37" s="1118"/>
      <c r="D37" s="1118"/>
      <c r="E37" s="1777"/>
      <c r="F37" s="1777"/>
      <c r="G37" s="1778"/>
    </row>
    <row r="38" spans="1:7" s="1154" customFormat="1">
      <c r="B38" s="1279"/>
      <c r="C38" s="1118"/>
      <c r="D38" s="1118"/>
      <c r="E38" s="1777"/>
      <c r="F38" s="1777"/>
      <c r="G38" s="1778"/>
    </row>
    <row r="39" spans="1:7" s="1154" customFormat="1">
      <c r="B39" s="1633"/>
      <c r="C39" s="1630"/>
      <c r="D39" s="1630" t="str">
        <f>_xll.BDP($B39,D$12)</f>
        <v>#N/A Invalid Security</v>
      </c>
      <c r="E39" s="1779" t="str">
        <f>_xll.BDP($B39,E$12)</f>
        <v>#N/A Invalid Security</v>
      </c>
      <c r="F39" s="1779" t="str">
        <f>_xll.BDP($B39,F$12)</f>
        <v>#N/A Invalid Security</v>
      </c>
      <c r="G39" s="1780"/>
    </row>
    <row r="40" spans="1:7" s="1154" customFormat="1">
      <c r="B40" s="1633"/>
      <c r="C40" s="1630"/>
      <c r="D40" s="1630"/>
      <c r="E40" s="1781"/>
      <c r="F40" s="1779"/>
      <c r="G40" s="1780"/>
    </row>
    <row r="41" spans="1:7" s="1154" customFormat="1">
      <c r="B41" s="1633"/>
      <c r="C41" s="1630"/>
      <c r="D41" s="1630"/>
      <c r="E41" s="1781"/>
      <c r="F41" s="1779"/>
      <c r="G41" s="1780"/>
    </row>
    <row r="42" spans="1:7" s="1154" customFormat="1">
      <c r="A42" s="1758"/>
      <c r="B42" s="1633"/>
      <c r="C42" s="1630"/>
      <c r="D42" s="1630"/>
      <c r="E42" s="1781"/>
      <c r="F42" s="1779"/>
      <c r="G42" s="1780"/>
    </row>
    <row r="43" spans="1:7" s="1154" customFormat="1">
      <c r="A43" s="1758"/>
      <c r="B43" s="1633"/>
      <c r="C43" s="1630"/>
      <c r="D43" s="1630"/>
      <c r="E43" s="1781"/>
      <c r="F43" s="1779"/>
      <c r="G43" s="1780"/>
    </row>
    <row r="44" spans="1:7" s="1154" customFormat="1">
      <c r="A44" s="1758"/>
      <c r="B44" s="1633"/>
      <c r="C44" s="1630"/>
      <c r="D44" s="1630"/>
      <c r="E44" s="1781"/>
      <c r="F44" s="1779"/>
      <c r="G44" s="1780"/>
    </row>
    <row r="45" spans="1:7" s="1154" customFormat="1">
      <c r="A45" s="1758"/>
      <c r="B45" s="1633"/>
      <c r="C45" s="1630"/>
      <c r="D45" s="1630"/>
      <c r="E45" s="1781"/>
      <c r="F45" s="1779"/>
      <c r="G45" s="1780"/>
    </row>
    <row r="46" spans="1:7" s="1154" customFormat="1">
      <c r="A46" s="1758"/>
      <c r="B46" s="1633"/>
      <c r="C46" s="1630"/>
      <c r="D46" s="1630"/>
      <c r="E46" s="1781"/>
      <c r="F46" s="1779"/>
      <c r="G46" s="1780"/>
    </row>
    <row r="47" spans="1:7" s="1154" customFormat="1">
      <c r="A47" s="1758"/>
      <c r="B47" s="1633"/>
      <c r="C47" s="1630"/>
      <c r="D47" s="1630"/>
      <c r="E47" s="1781"/>
      <c r="F47" s="1779"/>
      <c r="G47" s="1780"/>
    </row>
    <row r="48" spans="1:7" s="1154" customFormat="1">
      <c r="A48" s="1758"/>
      <c r="B48" s="1633"/>
      <c r="C48" s="1630"/>
      <c r="D48" s="1630"/>
      <c r="E48" s="1781"/>
      <c r="F48" s="1779"/>
      <c r="G48" s="1780"/>
    </row>
    <row r="49" spans="1:10" s="1154" customFormat="1">
      <c r="A49" s="1758"/>
      <c r="B49" s="1633"/>
      <c r="C49" s="1630"/>
      <c r="D49" s="1630"/>
      <c r="E49" s="1781"/>
      <c r="F49" s="1779"/>
      <c r="G49" s="1780"/>
    </row>
    <row r="50" spans="1:10" s="1154" customFormat="1">
      <c r="A50" s="1758"/>
      <c r="B50" s="1633"/>
      <c r="C50" s="1630"/>
      <c r="D50" s="1630"/>
      <c r="E50" s="1781"/>
      <c r="F50" s="1779"/>
      <c r="G50" s="1780"/>
    </row>
    <row r="51" spans="1:10" s="1154" customFormat="1">
      <c r="A51" s="1758"/>
      <c r="B51" s="1633"/>
      <c r="C51" s="1630"/>
      <c r="D51" s="1630"/>
      <c r="E51" s="1781"/>
      <c r="F51" s="1779"/>
      <c r="G51" s="1780"/>
    </row>
    <row r="52" spans="1:10" s="1154" customFormat="1">
      <c r="A52" s="1758"/>
      <c r="B52" s="1633"/>
      <c r="C52" s="1630"/>
      <c r="D52" s="1630"/>
      <c r="E52" s="1781"/>
      <c r="F52" s="1779"/>
      <c r="G52" s="1780"/>
    </row>
    <row r="53" spans="1:10" s="1154" customFormat="1">
      <c r="A53" s="1758"/>
      <c r="B53" s="1782"/>
      <c r="C53" s="1783"/>
      <c r="D53" s="1783"/>
      <c r="E53" s="1784"/>
      <c r="F53" s="1785"/>
      <c r="G53" s="1786"/>
    </row>
    <row r="54" spans="1:10" s="1154" customFormat="1">
      <c r="B54" s="1758"/>
      <c r="C54" s="1758"/>
      <c r="D54" s="1758"/>
      <c r="E54" s="1758"/>
      <c r="F54" s="1759"/>
      <c r="G54" s="1760"/>
      <c r="I54" s="1766"/>
      <c r="J54" s="1764"/>
    </row>
    <row r="55" spans="1:10" s="1154" customFormat="1">
      <c r="B55" s="1758"/>
      <c r="C55" s="1758"/>
      <c r="D55" s="1758"/>
      <c r="E55" s="1758"/>
      <c r="F55" s="1759"/>
      <c r="G55" s="1760"/>
      <c r="I55" s="1766"/>
      <c r="J55" s="1764"/>
    </row>
    <row r="56" spans="1:10" s="1154" customFormat="1">
      <c r="B56" s="1758"/>
      <c r="C56" s="1758"/>
      <c r="D56" s="1758"/>
      <c r="E56" s="1758"/>
      <c r="F56" s="1759"/>
      <c r="G56" s="1760"/>
      <c r="I56" s="1766"/>
      <c r="J56" s="1764"/>
    </row>
    <row r="57" spans="1:10" s="1154" customFormat="1">
      <c r="B57" s="1758"/>
      <c r="C57" s="1758"/>
      <c r="D57" s="1758"/>
      <c r="E57" s="1758"/>
      <c r="F57" s="1759"/>
      <c r="G57" s="1760"/>
      <c r="I57" s="1766"/>
      <c r="J57" s="1764"/>
    </row>
    <row r="58" spans="1:10" s="1154" customFormat="1">
      <c r="B58" s="1758"/>
      <c r="C58" s="1758"/>
      <c r="D58" s="1758"/>
      <c r="E58" s="1758"/>
      <c r="F58" s="1759"/>
      <c r="G58" s="1760"/>
      <c r="I58" s="1766"/>
      <c r="J58" s="1764"/>
    </row>
    <row r="59" spans="1:10" s="1154" customFormat="1">
      <c r="B59" s="1758"/>
      <c r="C59" s="1758"/>
      <c r="D59" s="1758"/>
      <c r="E59" s="1758"/>
      <c r="F59" s="1759"/>
      <c r="G59" s="1760"/>
      <c r="I59" s="1766"/>
      <c r="J59" s="1764"/>
    </row>
    <row r="60" spans="1:10" s="1154" customFormat="1">
      <c r="B60" s="1758"/>
      <c r="C60" s="1758"/>
      <c r="D60" s="1758"/>
      <c r="E60" s="1758"/>
      <c r="F60" s="1759"/>
      <c r="G60" s="1760"/>
      <c r="I60" s="1766"/>
      <c r="J60" s="1764"/>
    </row>
    <row r="61" spans="1:10" s="1154" customFormat="1">
      <c r="B61" s="1758"/>
      <c r="C61" s="1758"/>
      <c r="D61" s="1758"/>
      <c r="E61" s="1758"/>
      <c r="F61" s="1759"/>
      <c r="G61" s="1760"/>
      <c r="I61" s="1766"/>
      <c r="J61" s="1764"/>
    </row>
    <row r="62" spans="1:10" s="1154" customFormat="1">
      <c r="B62" s="1758"/>
      <c r="C62" s="1758"/>
      <c r="D62" s="1758"/>
      <c r="E62" s="1758"/>
      <c r="F62" s="1759"/>
      <c r="G62" s="1760"/>
      <c r="I62" s="1766"/>
      <c r="J62" s="1764"/>
    </row>
    <row r="63" spans="1:10" s="1154" customFormat="1">
      <c r="B63" s="1758"/>
      <c r="C63" s="1758"/>
      <c r="D63" s="1758"/>
      <c r="E63" s="1758"/>
      <c r="F63" s="1759"/>
      <c r="G63" s="1760"/>
      <c r="I63" s="1766"/>
      <c r="J63" s="1764"/>
    </row>
    <row r="64" spans="1:10" s="1154" customFormat="1">
      <c r="B64" s="1758"/>
      <c r="C64" s="1758"/>
      <c r="D64" s="1758"/>
      <c r="E64" s="1758"/>
      <c r="F64" s="1759"/>
      <c r="G64" s="1760"/>
      <c r="I64" s="1766"/>
      <c r="J64" s="1764"/>
    </row>
    <row r="65" spans="2:10" s="1154" customFormat="1">
      <c r="B65" s="1758"/>
      <c r="C65" s="1758"/>
      <c r="D65" s="1758"/>
      <c r="E65" s="1758"/>
      <c r="F65" s="1759"/>
      <c r="G65" s="1760"/>
      <c r="I65" s="1766"/>
      <c r="J65" s="1764"/>
    </row>
    <row r="66" spans="2:10" s="1154" customFormat="1">
      <c r="B66" s="1758"/>
      <c r="C66" s="1758"/>
      <c r="D66" s="1758"/>
      <c r="E66" s="1758"/>
      <c r="F66" s="1759"/>
      <c r="G66" s="1760"/>
      <c r="I66" s="1766"/>
      <c r="J66" s="1764"/>
    </row>
    <row r="67" spans="2:10" s="1154" customFormat="1">
      <c r="B67" s="1758"/>
      <c r="C67" s="1758"/>
      <c r="D67" s="1758"/>
      <c r="E67" s="1758"/>
      <c r="F67" s="1759"/>
      <c r="G67" s="1760"/>
      <c r="I67" s="1766"/>
      <c r="J67" s="1764"/>
    </row>
    <row r="68" spans="2:10" s="1154" customFormat="1">
      <c r="B68" s="1758"/>
      <c r="C68" s="1758"/>
      <c r="D68" s="1758"/>
      <c r="E68" s="1758"/>
      <c r="F68" s="1759"/>
      <c r="G68" s="1760"/>
      <c r="I68" s="1766"/>
      <c r="J68" s="1764"/>
    </row>
    <row r="69" spans="2:10" s="1154" customFormat="1">
      <c r="B69" s="1758"/>
      <c r="C69" s="1758"/>
      <c r="D69" s="1758"/>
      <c r="E69" s="1758"/>
      <c r="F69" s="1759"/>
      <c r="G69" s="1760"/>
      <c r="I69" s="1766"/>
      <c r="J69" s="1764"/>
    </row>
    <row r="70" spans="2:10" s="1154" customFormat="1">
      <c r="B70" s="1758"/>
      <c r="C70" s="1758"/>
      <c r="D70" s="1758"/>
      <c r="E70" s="1758"/>
      <c r="F70" s="1759"/>
      <c r="G70" s="1760"/>
      <c r="I70" s="1766"/>
      <c r="J70" s="1764"/>
    </row>
    <row r="71" spans="2:10" s="1154" customFormat="1">
      <c r="B71" s="1758"/>
      <c r="C71" s="1758"/>
      <c r="D71" s="1758"/>
      <c r="E71" s="1758"/>
      <c r="F71" s="1759"/>
      <c r="G71" s="1760"/>
      <c r="I71" s="1766"/>
      <c r="J71" s="1764"/>
    </row>
    <row r="72" spans="2:10" s="1154" customFormat="1">
      <c r="B72" s="1758"/>
      <c r="C72" s="1758"/>
      <c r="D72" s="1758"/>
      <c r="E72" s="1758"/>
      <c r="F72" s="1759"/>
      <c r="G72" s="1760"/>
      <c r="I72" s="1766"/>
      <c r="J72" s="1764"/>
    </row>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tabColor rgb="FFFFFF00"/>
  </sheetPr>
  <dimension ref="A1:S195"/>
  <sheetViews>
    <sheetView zoomScale="90" zoomScaleNormal="90" workbookViewId="0"/>
  </sheetViews>
  <sheetFormatPr baseColWidth="10" defaultColWidth="9.140625" defaultRowHeight="15" customHeight="1"/>
  <cols>
    <col min="1" max="1" width="3.7109375" style="1117" customWidth="1"/>
    <col min="2" max="2" width="14.28515625" style="1117" customWidth="1"/>
    <col min="3" max="3" width="9.85546875" style="1117" customWidth="1"/>
    <col min="4" max="4" width="11" style="1117" customWidth="1"/>
    <col min="5" max="5" width="3.85546875" style="1117" customWidth="1"/>
    <col min="6" max="6" width="12.85546875" style="1117" customWidth="1"/>
    <col min="7" max="7" width="13.140625" style="1117" customWidth="1"/>
    <col min="8" max="8" width="10.140625" style="1117" customWidth="1"/>
    <col min="9" max="9" width="14.140625" style="1117" customWidth="1"/>
    <col min="10" max="10" width="14.42578125" style="1117" customWidth="1"/>
    <col min="11" max="11" width="11.7109375" style="1117" customWidth="1"/>
    <col min="12" max="12" width="12" style="1117" customWidth="1"/>
    <col min="13" max="13" width="12.28515625" style="1117" customWidth="1"/>
    <col min="14" max="14" width="13.42578125" style="1117" bestFit="1" customWidth="1"/>
    <col min="15" max="15" width="12.85546875" style="1117" bestFit="1" customWidth="1"/>
    <col min="16" max="18" width="9.140625" style="1117"/>
    <col min="19" max="19" width="6.42578125" style="1117" customWidth="1"/>
    <col min="20" max="16384" width="9.140625" style="1117"/>
  </cols>
  <sheetData>
    <row r="1" spans="1:19" ht="17.25" customHeight="1">
      <c r="A1" s="1154"/>
    </row>
    <row r="5" spans="1:19" ht="21">
      <c r="B5" s="1810" t="s">
        <v>663</v>
      </c>
      <c r="D5" s="1449"/>
    </row>
    <row r="6" spans="1:19">
      <c r="B6" s="1189" t="s">
        <v>244</v>
      </c>
    </row>
    <row r="7" spans="1:19">
      <c r="B7" s="1190" t="s">
        <v>30</v>
      </c>
    </row>
    <row r="9" spans="1:19" s="1119" customFormat="1" ht="15" customHeight="1">
      <c r="B9" s="30"/>
      <c r="C9" s="1824" t="s">
        <v>226</v>
      </c>
      <c r="D9" s="1824" t="s">
        <v>225</v>
      </c>
      <c r="E9" s="1824"/>
      <c r="F9" s="1824" t="s">
        <v>234</v>
      </c>
      <c r="G9" s="1824" t="s">
        <v>724</v>
      </c>
      <c r="H9" s="113"/>
      <c r="I9" s="113"/>
      <c r="J9" s="113"/>
      <c r="K9" s="114"/>
      <c r="M9" s="1811" t="s">
        <v>636</v>
      </c>
      <c r="N9" s="1200"/>
      <c r="O9" s="1200"/>
      <c r="P9" s="1200"/>
      <c r="Q9" s="1200"/>
      <c r="R9" s="1200"/>
      <c r="S9" s="1201"/>
    </row>
    <row r="10" spans="1:19" ht="15" customHeight="1">
      <c r="A10" s="1154"/>
      <c r="B10" s="74" t="s">
        <v>520</v>
      </c>
      <c r="C10" s="27" t="s">
        <v>477</v>
      </c>
      <c r="D10" s="27" t="s">
        <v>478</v>
      </c>
      <c r="E10" s="26"/>
      <c r="F10" s="27" t="s">
        <v>477</v>
      </c>
      <c r="G10" s="27" t="s">
        <v>479</v>
      </c>
      <c r="H10" s="25"/>
      <c r="I10" s="25"/>
      <c r="J10" s="25"/>
      <c r="K10" s="43"/>
      <c r="L10" s="1154"/>
      <c r="M10" s="1279" t="s">
        <v>235</v>
      </c>
      <c r="N10" s="1119" t="s">
        <v>1304</v>
      </c>
      <c r="O10" s="1118"/>
      <c r="P10" s="1119"/>
      <c r="Q10" s="1119"/>
      <c r="R10" s="1119"/>
      <c r="S10" s="1195"/>
    </row>
    <row r="11" spans="1:19" ht="15" customHeight="1">
      <c r="A11" s="1154"/>
      <c r="B11" s="73" t="s">
        <v>480</v>
      </c>
      <c r="C11" s="1816">
        <v>0.25</v>
      </c>
      <c r="D11" s="1818">
        <v>1.41</v>
      </c>
      <c r="E11" s="26"/>
      <c r="F11" s="1822">
        <v>5</v>
      </c>
      <c r="G11" s="328">
        <f>_xll.BInterpol($C$11:$C$23,$D$11:$D$23,F11,"linear")</f>
        <v>2.38</v>
      </c>
      <c r="H11" s="88" t="s">
        <v>216</v>
      </c>
      <c r="I11" s="25"/>
      <c r="J11" s="25"/>
      <c r="K11" s="43"/>
      <c r="L11" s="1154"/>
      <c r="M11" s="1279" t="s">
        <v>236</v>
      </c>
      <c r="N11" s="1119" t="s">
        <v>1305</v>
      </c>
      <c r="O11" s="1118"/>
      <c r="P11" s="1119"/>
      <c r="Q11" s="1119"/>
      <c r="R11" s="1119"/>
      <c r="S11" s="1195"/>
    </row>
    <row r="12" spans="1:19" ht="15" customHeight="1">
      <c r="A12" s="1154"/>
      <c r="B12" s="73" t="s">
        <v>481</v>
      </c>
      <c r="C12" s="1816">
        <v>0.5</v>
      </c>
      <c r="D12" s="1818">
        <v>1.79</v>
      </c>
      <c r="E12" s="26"/>
      <c r="F12" s="1822">
        <v>7.5650000000000004</v>
      </c>
      <c r="G12" s="71">
        <f>_xll.BInterpol($C$11:$C$23,$D$11:$D$23,F12,"linear")</f>
        <v>2.813015</v>
      </c>
      <c r="H12" s="25"/>
      <c r="I12" s="25"/>
      <c r="J12" s="25"/>
      <c r="K12" s="43"/>
      <c r="L12" s="1154"/>
      <c r="M12" s="1279" t="s">
        <v>237</v>
      </c>
      <c r="N12" s="1119" t="s">
        <v>1306</v>
      </c>
      <c r="O12" s="1118"/>
      <c r="P12" s="1119"/>
      <c r="Q12" s="1119"/>
      <c r="R12" s="1119"/>
      <c r="S12" s="1195"/>
    </row>
    <row r="13" spans="1:19" ht="15" customHeight="1">
      <c r="A13" s="1154"/>
      <c r="B13" s="73" t="s">
        <v>481</v>
      </c>
      <c r="C13" s="1819">
        <v>0.75</v>
      </c>
      <c r="D13" s="1818">
        <v>1.79</v>
      </c>
      <c r="E13" s="26"/>
      <c r="F13" s="1823">
        <v>8.3290000000000006</v>
      </c>
      <c r="G13" s="71">
        <f>_xll.BInterpol($C$11:$C$23,$D$11:$D$23,F13,"linear")</f>
        <v>2.9065190000000003</v>
      </c>
      <c r="H13" s="25"/>
      <c r="I13" s="25"/>
      <c r="J13" s="25"/>
      <c r="K13" s="43"/>
      <c r="L13" s="1154"/>
      <c r="M13" s="1279" t="s">
        <v>238</v>
      </c>
      <c r="N13" s="1119" t="s">
        <v>1307</v>
      </c>
      <c r="O13" s="1118"/>
      <c r="P13" s="1119"/>
      <c r="Q13" s="1119"/>
      <c r="R13" s="1119"/>
      <c r="S13" s="1195"/>
    </row>
    <row r="14" spans="1:19" ht="15" customHeight="1">
      <c r="A14" s="1154"/>
      <c r="B14" s="73" t="s">
        <v>482</v>
      </c>
      <c r="C14" s="1820">
        <v>1</v>
      </c>
      <c r="D14" s="1818">
        <v>2.15</v>
      </c>
      <c r="E14" s="29"/>
      <c r="F14" s="1823">
        <v>9.77</v>
      </c>
      <c r="G14" s="71">
        <f>_xll.BInterpol($C$11:$C$23,$D$11:$D$23,F14,"linear")</f>
        <v>2.9809999999999999</v>
      </c>
      <c r="H14" s="25"/>
      <c r="I14" s="25"/>
      <c r="J14" s="25"/>
      <c r="K14" s="43"/>
      <c r="L14" s="1154"/>
      <c r="M14" s="1279" t="s">
        <v>239</v>
      </c>
      <c r="N14" s="1119" t="s">
        <v>1308</v>
      </c>
      <c r="O14" s="1118"/>
      <c r="P14" s="1119"/>
      <c r="Q14" s="1119"/>
      <c r="R14" s="1119"/>
      <c r="S14" s="1195"/>
    </row>
    <row r="15" spans="1:19" ht="15" customHeight="1">
      <c r="A15" s="1154"/>
      <c r="B15" s="73" t="s">
        <v>483</v>
      </c>
      <c r="C15" s="1820">
        <v>2</v>
      </c>
      <c r="D15" s="1818">
        <v>1.8069999999999999</v>
      </c>
      <c r="E15" s="26"/>
      <c r="F15" s="1823">
        <v>9.11</v>
      </c>
      <c r="G15" s="71">
        <f>_xll.BInterpol($C$11:$C$23,$D$11:$D$23,F15,"linear")</f>
        <v>2.9809999999999999</v>
      </c>
      <c r="H15" s="25"/>
      <c r="I15" s="25"/>
      <c r="J15" s="25"/>
      <c r="K15" s="43"/>
      <c r="L15" s="1154"/>
      <c r="M15" s="1293"/>
      <c r="N15" s="1196" t="s">
        <v>1303</v>
      </c>
      <c r="O15" s="1196"/>
      <c r="P15" s="1204"/>
      <c r="Q15" s="1204"/>
      <c r="R15" s="1204"/>
      <c r="S15" s="1265"/>
    </row>
    <row r="16" spans="1:19" ht="15" customHeight="1">
      <c r="A16" s="1154"/>
      <c r="B16" s="73" t="s">
        <v>484</v>
      </c>
      <c r="C16" s="1820">
        <v>3</v>
      </c>
      <c r="D16" s="1818">
        <v>1.9530000000000001</v>
      </c>
      <c r="E16" s="26"/>
      <c r="F16" s="1823">
        <v>4.3499999999999996</v>
      </c>
      <c r="G16" s="71">
        <f>_xll.BInterpol($C$11:$C$23,$D$11:$D$23,F16,"linear")</f>
        <v>2.2467499999999996</v>
      </c>
      <c r="H16" s="25"/>
      <c r="I16" s="25"/>
      <c r="J16" s="25"/>
      <c r="K16" s="43"/>
      <c r="L16" s="1154"/>
      <c r="M16" s="1118"/>
      <c r="N16" s="1118"/>
      <c r="O16" s="1118"/>
    </row>
    <row r="17" spans="1:15" ht="15" customHeight="1">
      <c r="A17" s="1154"/>
      <c r="B17" s="73" t="s">
        <v>485</v>
      </c>
      <c r="C17" s="1821">
        <v>4</v>
      </c>
      <c r="D17" s="1818">
        <v>2.1749999999999998</v>
      </c>
      <c r="E17" s="26"/>
      <c r="F17" s="1822">
        <v>8.5</v>
      </c>
      <c r="G17" s="71">
        <f>_xll.BInterpol($C$11:$C$23,$D$11:$D$23,F17,"linear")</f>
        <v>2.9255</v>
      </c>
      <c r="H17" s="25"/>
      <c r="I17" s="25"/>
      <c r="J17" s="25"/>
      <c r="K17" s="43"/>
      <c r="L17" s="1154"/>
      <c r="M17" s="1118"/>
      <c r="N17" s="1118"/>
      <c r="O17" s="1118"/>
    </row>
    <row r="18" spans="1:15" ht="15" customHeight="1">
      <c r="A18" s="1154"/>
      <c r="B18" s="73" t="s">
        <v>486</v>
      </c>
      <c r="C18" s="1820">
        <v>5</v>
      </c>
      <c r="D18" s="1818">
        <v>2.38</v>
      </c>
      <c r="E18" s="26"/>
      <c r="F18" s="28"/>
      <c r="G18" s="28"/>
      <c r="H18" s="25"/>
      <c r="I18" s="25"/>
      <c r="J18" s="25"/>
      <c r="K18" s="43"/>
      <c r="L18" s="1154"/>
      <c r="M18" s="1118"/>
      <c r="N18" s="1118"/>
      <c r="O18" s="1118"/>
    </row>
    <row r="19" spans="1:15" ht="15" customHeight="1">
      <c r="A19" s="1154"/>
      <c r="B19" s="73" t="s">
        <v>487</v>
      </c>
      <c r="C19" s="1820">
        <v>6</v>
      </c>
      <c r="D19" s="1818">
        <v>2.5779999999999998</v>
      </c>
      <c r="E19" s="26"/>
      <c r="F19" s="28"/>
      <c r="G19" s="28"/>
      <c r="H19" s="25"/>
      <c r="I19" s="25"/>
      <c r="J19" s="25"/>
      <c r="K19" s="43"/>
      <c r="L19" s="1154"/>
      <c r="N19" s="1154"/>
      <c r="O19" s="1154"/>
    </row>
    <row r="20" spans="1:15" ht="15" customHeight="1">
      <c r="A20" s="1154"/>
      <c r="B20" s="73" t="s">
        <v>488</v>
      </c>
      <c r="C20" s="1820">
        <v>7</v>
      </c>
      <c r="D20" s="1818">
        <v>2.7389999999999999</v>
      </c>
      <c r="E20" s="26"/>
      <c r="F20" s="28"/>
      <c r="G20" s="28"/>
      <c r="H20" s="25"/>
      <c r="I20" s="25"/>
      <c r="J20" s="25"/>
      <c r="K20" s="43"/>
      <c r="L20" s="1154"/>
      <c r="N20" s="1154"/>
      <c r="O20" s="1154"/>
    </row>
    <row r="21" spans="1:15" ht="15" customHeight="1">
      <c r="A21" s="1154"/>
      <c r="B21" s="73" t="s">
        <v>489</v>
      </c>
      <c r="C21" s="1821">
        <v>8</v>
      </c>
      <c r="D21" s="1818">
        <v>2.87</v>
      </c>
      <c r="E21" s="26"/>
      <c r="F21" s="28"/>
      <c r="G21" s="28"/>
      <c r="H21" s="25"/>
      <c r="I21" s="25"/>
      <c r="J21" s="25"/>
      <c r="K21" s="43"/>
      <c r="L21" s="1154"/>
      <c r="N21" s="1154"/>
      <c r="O21" s="1154"/>
    </row>
    <row r="22" spans="1:15" ht="15" customHeight="1">
      <c r="A22" s="1154"/>
      <c r="B22" s="73" t="s">
        <v>490</v>
      </c>
      <c r="C22" s="1820">
        <v>9</v>
      </c>
      <c r="D22" s="1818">
        <v>2.9809999999999999</v>
      </c>
      <c r="E22" s="26"/>
      <c r="F22" s="28"/>
      <c r="G22" s="26"/>
      <c r="H22" s="25"/>
      <c r="I22" s="25"/>
      <c r="J22" s="25"/>
      <c r="K22" s="43"/>
      <c r="L22" s="1154"/>
      <c r="N22" s="1154"/>
      <c r="O22" s="1154"/>
    </row>
    <row r="23" spans="1:15" ht="15" customHeight="1">
      <c r="A23" s="1154"/>
      <c r="B23" s="741" t="s">
        <v>491</v>
      </c>
      <c r="C23" s="1820">
        <v>10</v>
      </c>
      <c r="D23" s="1818">
        <v>2.9809999999999999</v>
      </c>
      <c r="E23" s="26"/>
      <c r="F23" s="28"/>
      <c r="G23" s="26"/>
      <c r="H23" s="25"/>
      <c r="I23" s="25"/>
      <c r="J23" s="25"/>
      <c r="K23" s="43"/>
      <c r="L23" s="1154"/>
      <c r="N23" s="1154"/>
      <c r="O23" s="1154"/>
    </row>
    <row r="24" spans="1:15" ht="15" customHeight="1">
      <c r="A24" s="1154"/>
      <c r="B24" s="77"/>
      <c r="C24" s="78"/>
      <c r="D24" s="79"/>
      <c r="E24" s="80"/>
      <c r="F24" s="79"/>
      <c r="G24" s="80"/>
      <c r="H24" s="35"/>
      <c r="I24" s="35"/>
      <c r="J24" s="35"/>
      <c r="K24" s="44"/>
      <c r="L24" s="1154"/>
      <c r="M24" s="1154"/>
      <c r="N24" s="1154"/>
      <c r="O24" s="1154"/>
    </row>
    <row r="25" spans="1:15" ht="15" customHeight="1">
      <c r="A25" s="1154"/>
      <c r="L25" s="1154"/>
      <c r="M25" s="1154"/>
      <c r="N25" s="1154"/>
      <c r="O25" s="1154"/>
    </row>
    <row r="26" spans="1:15" ht="15" customHeight="1">
      <c r="A26" s="1154"/>
      <c r="B26" s="1118"/>
    </row>
    <row r="27" spans="1:15" ht="15" customHeight="1">
      <c r="B27" s="701" t="s">
        <v>1302</v>
      </c>
      <c r="C27" s="6"/>
      <c r="D27" s="739"/>
      <c r="E27" s="1291"/>
      <c r="F27" s="333" t="s">
        <v>250</v>
      </c>
      <c r="G27" s="12"/>
      <c r="H27" s="12"/>
      <c r="I27" s="12"/>
      <c r="J27" s="12"/>
      <c r="K27" s="12"/>
      <c r="L27" s="12"/>
      <c r="M27" s="12"/>
      <c r="N27" s="47"/>
    </row>
    <row r="28" spans="1:15" ht="30">
      <c r="B28" s="740"/>
      <c r="C28" s="1817" t="s">
        <v>1301</v>
      </c>
      <c r="D28" s="1300" t="s">
        <v>478</v>
      </c>
      <c r="E28" s="1119"/>
      <c r="F28" s="15" t="s">
        <v>523</v>
      </c>
      <c r="G28" s="13"/>
      <c r="H28" s="13"/>
      <c r="I28" s="13"/>
      <c r="J28" s="13"/>
      <c r="K28" s="2182" t="s">
        <v>1905</v>
      </c>
      <c r="L28" s="13"/>
      <c r="M28" s="13"/>
      <c r="N28" s="48"/>
    </row>
    <row r="29" spans="1:15" ht="15" customHeight="1">
      <c r="B29" s="741" t="s">
        <v>480</v>
      </c>
      <c r="C29" s="329" t="e">
        <f ca="1">_xll.BDP($B29,C$28)</f>
        <v>#NAME?</v>
      </c>
      <c r="D29" s="2181" t="e">
        <f ca="1">_xll.BDP($B29,D$28)</f>
        <v>#NAME?</v>
      </c>
      <c r="E29" s="1291"/>
      <c r="F29" s="15"/>
      <c r="G29" s="37" t="s">
        <v>426</v>
      </c>
      <c r="H29" s="37" t="s">
        <v>470</v>
      </c>
      <c r="I29" s="37" t="s">
        <v>496</v>
      </c>
      <c r="J29" s="13"/>
      <c r="K29" s="37" t="s">
        <v>497</v>
      </c>
      <c r="L29" s="37" t="s">
        <v>479</v>
      </c>
      <c r="M29" s="62" t="s">
        <v>426</v>
      </c>
      <c r="N29" s="48"/>
    </row>
    <row r="30" spans="1:15" ht="15" customHeight="1">
      <c r="B30" s="741" t="s">
        <v>481</v>
      </c>
      <c r="C30" s="22" t="e">
        <f ca="1">_xll.BDP($B30,C$28)</f>
        <v>#NAME?</v>
      </c>
      <c r="D30" s="2181" t="e">
        <f ca="1">_xll.BDP($B30,D$28)</f>
        <v>#NAME?</v>
      </c>
      <c r="E30" s="1291"/>
      <c r="F30" s="1323" t="s">
        <v>1398</v>
      </c>
      <c r="G30" s="49" t="e">
        <f ca="1">_xll.BDP($F30,G$29,$M$29,$M30)</f>
        <v>#NAME?</v>
      </c>
      <c r="H30" s="49" t="e">
        <f ca="1">_xll.BDP($F30,H$29,$M$29,$M30)</f>
        <v>#NAME?</v>
      </c>
      <c r="I30" s="50" t="e">
        <f ca="1">(H30-L30)*100</f>
        <v>#NAME?</v>
      </c>
      <c r="J30" s="50"/>
      <c r="K30" s="37" t="e">
        <f ca="1">_xll.BDP($F30,K$29)</f>
        <v>#NAME?</v>
      </c>
      <c r="L30" s="2183" t="e">
        <f ca="1">_xll.BInterpol($C$29:$C$41,$D$29:$D$41,K30,"Linear")</f>
        <v>#NAME?</v>
      </c>
      <c r="M30" s="1298">
        <v>112.68</v>
      </c>
      <c r="N30" s="48"/>
    </row>
    <row r="31" spans="1:15" ht="15" customHeight="1">
      <c r="B31" s="741" t="s">
        <v>1299</v>
      </c>
      <c r="C31" s="22" t="e">
        <f ca="1">_xll.BDP($B31,C$28)</f>
        <v>#NAME?</v>
      </c>
      <c r="D31" s="2181" t="e">
        <f ca="1">_xll.BDP($B31,D$28)</f>
        <v>#NAME?</v>
      </c>
      <c r="E31" s="1291"/>
      <c r="F31" s="1322" t="s">
        <v>427</v>
      </c>
      <c r="G31" s="49" t="e">
        <f ca="1">_xll.BDP($F31,G$29,$M$29,$M31)</f>
        <v>#NAME?</v>
      </c>
      <c r="H31" s="49" t="e">
        <f ca="1">_xll.BDP($F31,H$29,$M$29,$M31)</f>
        <v>#NAME?</v>
      </c>
      <c r="I31" s="50" t="e">
        <f ca="1">(H31-L31)*100</f>
        <v>#NAME?</v>
      </c>
      <c r="J31" s="50"/>
      <c r="K31" s="37" t="e">
        <f ca="1">_xll.BDP($F31,K$29)</f>
        <v>#NAME?</v>
      </c>
      <c r="L31" s="1987" t="e">
        <f ca="1">_xll.BInterpol($C$29:$C$41,$D$29:$D$41,K31,"Linear")</f>
        <v>#NAME?</v>
      </c>
      <c r="M31" s="1298">
        <v>108.75</v>
      </c>
      <c r="N31" s="48"/>
    </row>
    <row r="32" spans="1:15" ht="15" customHeight="1">
      <c r="B32" s="741" t="s">
        <v>1300</v>
      </c>
      <c r="C32" s="22" t="e">
        <f ca="1">_xll.BDP($B32,C$28)</f>
        <v>#NAME?</v>
      </c>
      <c r="D32" s="2181" t="e">
        <f ca="1">_xll.BDP($B32,D$28)</f>
        <v>#NAME?</v>
      </c>
      <c r="E32" s="1291"/>
      <c r="F32" s="32"/>
      <c r="G32" s="33"/>
      <c r="H32" s="33"/>
      <c r="I32" s="33"/>
      <c r="J32" s="33"/>
      <c r="K32" s="33"/>
      <c r="L32" s="33"/>
      <c r="M32" s="33"/>
      <c r="N32" s="51"/>
    </row>
    <row r="33" spans="2:16" ht="15" customHeight="1">
      <c r="B33" s="741" t="s">
        <v>483</v>
      </c>
      <c r="C33" s="22" t="e">
        <f ca="1">_xll.BDP($B33,C$28)</f>
        <v>#NAME?</v>
      </c>
      <c r="D33" s="2181" t="e">
        <f ca="1">_xll.BDP($B33,D$28)</f>
        <v>#NAME?</v>
      </c>
      <c r="E33" s="1291"/>
      <c r="F33" s="46" t="s">
        <v>522</v>
      </c>
      <c r="G33" s="12"/>
      <c r="H33" s="12"/>
      <c r="I33" s="12"/>
      <c r="J33" s="12"/>
      <c r="K33" s="12"/>
      <c r="L33" s="12"/>
      <c r="M33" s="12"/>
      <c r="N33" s="47"/>
    </row>
    <row r="34" spans="2:16" ht="15" customHeight="1">
      <c r="B34" s="741" t="s">
        <v>484</v>
      </c>
      <c r="C34" s="22" t="e">
        <f ca="1">_xll.BDP($B34,C$28)</f>
        <v>#NAME?</v>
      </c>
      <c r="D34" s="2181" t="e">
        <f ca="1">_xll.BDP($B34,D$28)</f>
        <v>#NAME?</v>
      </c>
      <c r="E34" s="1291"/>
      <c r="F34" s="15"/>
      <c r="G34" s="13" t="s">
        <v>426</v>
      </c>
      <c r="H34" s="13" t="s">
        <v>470</v>
      </c>
      <c r="I34" s="13"/>
      <c r="J34" s="13"/>
      <c r="K34" s="37" t="s">
        <v>497</v>
      </c>
      <c r="L34" s="37" t="s">
        <v>479</v>
      </c>
      <c r="M34" s="62" t="s">
        <v>498</v>
      </c>
      <c r="N34" s="48"/>
    </row>
    <row r="35" spans="2:16" ht="15" customHeight="1">
      <c r="B35" s="741" t="s">
        <v>485</v>
      </c>
      <c r="C35" s="22" t="e">
        <f ca="1">_xll.BDP($B35,C$28)</f>
        <v>#NAME?</v>
      </c>
      <c r="D35" s="2181" t="e">
        <f ca="1">_xll.BDP($B35,D$28)</f>
        <v>#NAME?</v>
      </c>
      <c r="E35" s="1291"/>
      <c r="F35" s="1323" t="s">
        <v>1398</v>
      </c>
      <c r="G35" s="49" t="e">
        <f ca="1">_xll.BDP($F35,G$34,$H$34,$H35)</f>
        <v>#NAME?</v>
      </c>
      <c r="H35" s="52" t="e">
        <f ca="1">L35+(M35/100)</f>
        <v>#NAME?</v>
      </c>
      <c r="I35" s="13"/>
      <c r="J35" s="13"/>
      <c r="K35" s="37" t="e">
        <f ca="1">_xll.BDP($F35,K$34)</f>
        <v>#NAME?</v>
      </c>
      <c r="L35" s="1987" t="e">
        <f ca="1">_xll.BInterpol($C$29:$C$41,$D$29:$D$41,K35,"Linear")</f>
        <v>#NAME?</v>
      </c>
      <c r="M35" s="1815">
        <v>-20</v>
      </c>
      <c r="N35" s="48"/>
    </row>
    <row r="36" spans="2:16" ht="15" customHeight="1">
      <c r="B36" s="741" t="s">
        <v>486</v>
      </c>
      <c r="C36" s="22" t="e">
        <f ca="1">_xll.BDP($B36,C$28)</f>
        <v>#NAME?</v>
      </c>
      <c r="D36" s="2181" t="e">
        <f ca="1">_xll.BDP($B36,D$28)</f>
        <v>#NAME?</v>
      </c>
      <c r="E36" s="1291"/>
      <c r="F36" s="1322" t="s">
        <v>427</v>
      </c>
      <c r="G36" s="49" t="e">
        <f ca="1">_xll.BDP($F36,G$34,$H$34,$H36)</f>
        <v>#NAME?</v>
      </c>
      <c r="H36" s="52" t="e">
        <f ca="1">L36+(M36/100)</f>
        <v>#NAME?</v>
      </c>
      <c r="I36" s="13"/>
      <c r="J36" s="13"/>
      <c r="K36" s="37" t="e">
        <f ca="1">_xll.BDP($F36,K$34)</f>
        <v>#NAME?</v>
      </c>
      <c r="L36" s="1987" t="e">
        <f ca="1">_xll.BInterpol($C$29:$C$41,$D$29:$D$41,K36,"Linear")</f>
        <v>#NAME?</v>
      </c>
      <c r="M36" s="1815">
        <v>87.1</v>
      </c>
      <c r="N36" s="48"/>
    </row>
    <row r="37" spans="2:16" ht="15" customHeight="1">
      <c r="B37" s="741" t="s">
        <v>487</v>
      </c>
      <c r="C37" s="22" t="e">
        <f ca="1">_xll.BDP($B37,C$28)</f>
        <v>#NAME?</v>
      </c>
      <c r="D37" s="2181" t="e">
        <f ca="1">_xll.BDP($B37,D$28)</f>
        <v>#NAME?</v>
      </c>
      <c r="E37" s="1291"/>
      <c r="F37" s="32"/>
      <c r="G37" s="33"/>
      <c r="H37" s="33"/>
      <c r="I37" s="33"/>
      <c r="J37" s="33"/>
      <c r="K37" s="33"/>
      <c r="L37" s="33"/>
      <c r="M37" s="33"/>
      <c r="N37" s="51"/>
    </row>
    <row r="38" spans="2:16" ht="15" customHeight="1">
      <c r="B38" s="741" t="s">
        <v>488</v>
      </c>
      <c r="C38" s="22" t="e">
        <f ca="1">_xll.BDP($B38,C$28)</f>
        <v>#NAME?</v>
      </c>
      <c r="D38" s="2181" t="e">
        <f ca="1">_xll.BDP($B38,D$28)</f>
        <v>#NAME?</v>
      </c>
      <c r="E38" s="1291"/>
      <c r="F38" s="46" t="s">
        <v>521</v>
      </c>
      <c r="G38" s="12"/>
      <c r="H38" s="12"/>
      <c r="I38" s="12"/>
      <c r="J38" s="12"/>
      <c r="K38" s="12"/>
      <c r="L38" s="12"/>
      <c r="M38" s="12"/>
      <c r="N38" s="47"/>
    </row>
    <row r="39" spans="2:16" ht="15" customHeight="1">
      <c r="B39" s="741" t="s">
        <v>489</v>
      </c>
      <c r="C39" s="22" t="e">
        <f ca="1">_xll.BDP($B39,C$28)</f>
        <v>#NAME?</v>
      </c>
      <c r="D39" s="2181" t="e">
        <f ca="1">_xll.BDP($B39,D$28)</f>
        <v>#NAME?</v>
      </c>
      <c r="E39" s="1291"/>
      <c r="F39" s="15"/>
      <c r="G39" s="37" t="s">
        <v>426</v>
      </c>
      <c r="H39" s="37" t="s">
        <v>470</v>
      </c>
      <c r="I39" s="37" t="s">
        <v>496</v>
      </c>
      <c r="J39" s="13"/>
      <c r="K39" s="37" t="s">
        <v>497</v>
      </c>
      <c r="L39" s="37" t="s">
        <v>479</v>
      </c>
      <c r="M39" s="62" t="s">
        <v>470</v>
      </c>
      <c r="N39" s="48"/>
    </row>
    <row r="40" spans="2:16" ht="15" customHeight="1">
      <c r="B40" s="741" t="s">
        <v>490</v>
      </c>
      <c r="C40" s="22" t="e">
        <f ca="1">_xll.BDP($B40,C$28)</f>
        <v>#NAME?</v>
      </c>
      <c r="D40" s="2181" t="e">
        <f ca="1">_xll.BDP($B40,D$28)</f>
        <v>#NAME?</v>
      </c>
      <c r="E40" s="1291"/>
      <c r="F40" s="1323" t="s">
        <v>1398</v>
      </c>
      <c r="G40" s="49" t="e">
        <f ca="1">_xll.BDP($F40,G$39,$M$39,$M40)</f>
        <v>#NAME?</v>
      </c>
      <c r="H40" s="49" t="e">
        <f ca="1">_xll.BDP($F40,H$39,$M$39,$M40)</f>
        <v>#NAME?</v>
      </c>
      <c r="I40" s="50" t="e">
        <f ca="1">(M40-L40)*100</f>
        <v>#NAME?</v>
      </c>
      <c r="J40" s="50"/>
      <c r="K40" s="37" t="e">
        <f ca="1">_xll.BDP($F40,K$29)</f>
        <v>#NAME?</v>
      </c>
      <c r="L40" s="1987" t="e">
        <f ca="1">_xll.BInterpol($C$29:$C$41,$D$29:$D$41,K40,"Linear")</f>
        <v>#NAME?</v>
      </c>
      <c r="M40" s="1644">
        <v>0.34</v>
      </c>
      <c r="N40" s="48"/>
    </row>
    <row r="41" spans="2:16" ht="15" customHeight="1">
      <c r="B41" s="741" t="s">
        <v>491</v>
      </c>
      <c r="C41" s="22" t="e">
        <f ca="1">_xll.BDP($B41,C$28)</f>
        <v>#NAME?</v>
      </c>
      <c r="D41" s="2181" t="e">
        <f ca="1">_xll.BDP($B41,D$28)</f>
        <v>#NAME?</v>
      </c>
      <c r="E41" s="1291"/>
      <c r="F41" s="1322" t="s">
        <v>427</v>
      </c>
      <c r="G41" s="49" t="e">
        <f ca="1">_xll.BDP($F41,G$39,$M$39,$M41)</f>
        <v>#NAME?</v>
      </c>
      <c r="H41" s="49" t="e">
        <f ca="1">_xll.BDP($F41,H$39,$M$39,$M41)</f>
        <v>#NAME?</v>
      </c>
      <c r="I41" s="50" t="e">
        <f ca="1">(M41-L41)*100</f>
        <v>#NAME?</v>
      </c>
      <c r="J41" s="50"/>
      <c r="K41" s="37" t="e">
        <f ca="1">_xll.BDP($F41,K$29)</f>
        <v>#NAME?</v>
      </c>
      <c r="L41" s="1987" t="e">
        <f ca="1">_xll.BInterpol($C$29:$C$41,$D$29:$D$41,K41,"Linear")</f>
        <v>#NAME?</v>
      </c>
      <c r="M41" s="1644">
        <v>2.33</v>
      </c>
      <c r="N41" s="48"/>
    </row>
    <row r="42" spans="2:16" s="1119" customFormat="1" ht="15" customHeight="1">
      <c r="B42" s="77"/>
      <c r="C42" s="367"/>
      <c r="D42" s="737"/>
      <c r="E42" s="1291"/>
      <c r="F42" s="736"/>
      <c r="G42" s="735"/>
      <c r="H42" s="33"/>
      <c r="I42" s="33"/>
      <c r="J42" s="33"/>
      <c r="K42" s="33"/>
      <c r="L42" s="33"/>
      <c r="M42" s="33"/>
      <c r="N42" s="51"/>
    </row>
    <row r="43" spans="2:16" s="1119" customFormat="1" ht="15" customHeight="1">
      <c r="B43" s="1812"/>
      <c r="C43" s="1291"/>
      <c r="D43" s="1813"/>
      <c r="E43" s="1291"/>
      <c r="F43" s="1812"/>
      <c r="G43" s="2187"/>
      <c r="H43" s="2188"/>
      <c r="I43" s="1142"/>
      <c r="J43" s="1142"/>
      <c r="K43" s="1142"/>
      <c r="L43" s="1142"/>
      <c r="M43" s="1142"/>
      <c r="N43" s="13"/>
      <c r="O43" s="1142"/>
    </row>
    <row r="44" spans="2:16" s="1119" customFormat="1" ht="15" customHeight="1">
      <c r="B44" s="1118"/>
      <c r="C44" s="1118"/>
      <c r="D44" s="1118"/>
      <c r="E44" s="1118"/>
      <c r="F44" s="1118"/>
      <c r="G44" s="1118"/>
      <c r="H44" s="1118"/>
      <c r="I44" s="1118"/>
      <c r="J44" s="1118"/>
      <c r="K44" s="1118"/>
      <c r="L44" s="1118"/>
      <c r="M44" s="1118"/>
      <c r="N44" s="1118"/>
      <c r="O44" s="1118"/>
    </row>
    <row r="45" spans="2:16" s="1119" customFormat="1" ht="17.25" customHeight="1">
      <c r="B45" s="1814" t="s">
        <v>1656</v>
      </c>
      <c r="C45" s="1118"/>
      <c r="D45" s="1118"/>
      <c r="E45" s="1118"/>
      <c r="F45" s="1118"/>
      <c r="G45" s="1118"/>
      <c r="H45" s="1118"/>
      <c r="I45" s="1118"/>
      <c r="J45" s="1118"/>
      <c r="K45" s="1118"/>
      <c r="L45" s="1118"/>
      <c r="M45" s="1118"/>
      <c r="N45" s="1118"/>
      <c r="O45" s="1118"/>
    </row>
    <row r="46" spans="2:16" ht="15" customHeight="1">
      <c r="B46" s="30"/>
      <c r="C46" s="12"/>
      <c r="D46" s="12"/>
      <c r="E46" s="12"/>
      <c r="F46" s="12"/>
      <c r="G46" s="12"/>
      <c r="H46" s="12"/>
      <c r="I46" s="12"/>
      <c r="J46" s="12"/>
      <c r="K46" s="12"/>
      <c r="L46" s="12"/>
      <c r="M46" s="12"/>
      <c r="N46" s="12"/>
      <c r="O46" s="12"/>
      <c r="P46" s="1202"/>
    </row>
    <row r="47" spans="2:16" ht="15" customHeight="1">
      <c r="B47" s="40"/>
      <c r="C47" s="53"/>
      <c r="D47" s="53"/>
      <c r="E47" s="53"/>
      <c r="F47" s="53"/>
      <c r="G47" s="53"/>
      <c r="H47" s="53"/>
      <c r="I47" s="53"/>
      <c r="J47" s="53"/>
      <c r="K47" s="53"/>
      <c r="L47" s="53"/>
      <c r="M47" s="53"/>
      <c r="N47" s="53"/>
      <c r="O47" s="13"/>
      <c r="P47" s="1202"/>
    </row>
    <row r="48" spans="2:16" ht="15" customHeight="1">
      <c r="B48" s="54"/>
      <c r="C48" s="37"/>
      <c r="D48" s="37"/>
      <c r="E48" s="55"/>
      <c r="F48" s="56"/>
      <c r="G48" s="55"/>
      <c r="H48" s="37"/>
      <c r="I48" s="56"/>
      <c r="J48" s="37"/>
      <c r="K48" s="37"/>
      <c r="L48" s="37"/>
      <c r="M48" s="57" t="s">
        <v>499</v>
      </c>
      <c r="N48" s="58" t="s">
        <v>500</v>
      </c>
      <c r="O48" s="37"/>
      <c r="P48" s="1202"/>
    </row>
    <row r="49" spans="2:16" ht="15" customHeight="1">
      <c r="B49" s="60"/>
      <c r="C49" s="738" t="s">
        <v>501</v>
      </c>
      <c r="D49" s="37" t="s">
        <v>426</v>
      </c>
      <c r="E49" s="37"/>
      <c r="F49" s="58"/>
      <c r="G49" s="58" t="s">
        <v>470</v>
      </c>
      <c r="H49" s="58" t="s">
        <v>502</v>
      </c>
      <c r="I49" s="61" t="s">
        <v>503</v>
      </c>
      <c r="J49" s="61" t="s">
        <v>503</v>
      </c>
      <c r="K49" s="61" t="s">
        <v>503</v>
      </c>
      <c r="L49" s="61" t="s">
        <v>503</v>
      </c>
      <c r="M49" s="62" t="s">
        <v>504</v>
      </c>
      <c r="N49" s="37" t="s">
        <v>505</v>
      </c>
      <c r="O49" s="13"/>
      <c r="P49" s="1202"/>
    </row>
    <row r="50" spans="2:16" ht="15" customHeight="1">
      <c r="B50" s="63" t="s">
        <v>433</v>
      </c>
      <c r="C50" s="58">
        <v>1</v>
      </c>
      <c r="D50" s="64" t="e">
        <f ca="1">_xll.BDP($B50,D$49)</f>
        <v>#NAME?</v>
      </c>
      <c r="E50" s="13"/>
      <c r="F50" s="820" t="s">
        <v>506</v>
      </c>
      <c r="G50" s="64" t="e">
        <f ca="1">_xll.BDP($F50,G$49)</f>
        <v>#NAME?</v>
      </c>
      <c r="H50" s="64" t="e">
        <f ca="1">_xll.BDP($F50,H$49)</f>
        <v>#NAME?</v>
      </c>
      <c r="I50" s="2177" t="e">
        <f ca="1">INDEX($C$50:$C$67,MATCH(H50,$C$50:$C$67,1),1)</f>
        <v>#NAME?</v>
      </c>
      <c r="J50" s="2178" t="e">
        <f ca="1">INDEX($D$50:$D$67,MATCH(I50,$C$50:$C$67,0),1)</f>
        <v>#NAME?</v>
      </c>
      <c r="K50" s="2177" t="e">
        <f ca="1">INDEX($C$50:$C$67,MATCH($I50,$C$50:$C$67,0)+1)</f>
        <v>#NAME?</v>
      </c>
      <c r="L50" s="2178" t="e">
        <f ca="1">INDEX($D$50:$D$67,MATCH($I50,$C$50:$C$67,0)+1)</f>
        <v>#NAME?</v>
      </c>
      <c r="M50" s="2176" t="e">
        <f ca="1">J50+(L50-J50)*((H50-I50)/(K50-I50))</f>
        <v>#NAME?</v>
      </c>
      <c r="N50" s="2186" t="e">
        <f ca="1">(G50-M50)*100</f>
        <v>#NAME?</v>
      </c>
      <c r="O50" s="66"/>
      <c r="P50" s="1202"/>
    </row>
    <row r="51" spans="2:16" ht="15" customHeight="1">
      <c r="B51" s="63" t="s">
        <v>434</v>
      </c>
      <c r="C51" s="58">
        <v>1.5</v>
      </c>
      <c r="D51" s="64" t="e">
        <f ca="1">_xll.BDP($B51,D$49)</f>
        <v>#NAME?</v>
      </c>
      <c r="E51" s="13"/>
      <c r="F51" s="820" t="s">
        <v>1463</v>
      </c>
      <c r="G51" s="64" t="e">
        <f ca="1">_xll.BDP($F51,G$49)</f>
        <v>#NAME?</v>
      </c>
      <c r="H51" s="64" t="e">
        <f ca="1">_xll.BDP($F51,H$49)</f>
        <v>#NAME?</v>
      </c>
      <c r="I51" s="2185" t="e">
        <f ca="1">INDEX($C$50:$C$67,MATCH(H51,$C$50:$C$67,1),1)</f>
        <v>#NAME?</v>
      </c>
      <c r="J51" s="2184" t="e">
        <f ca="1">INDEX($D$50:$D$67,MATCH(I51,$C$50:$C$67,0),1)</f>
        <v>#NAME?</v>
      </c>
      <c r="K51" s="2185" t="e">
        <f ca="1">INDEX($C$50:$C$67,MATCH($I51,$C$50:$C$67,0)+1)</f>
        <v>#NAME?</v>
      </c>
      <c r="L51" s="2184" t="e">
        <f ca="1">INDEX($D$50:$D$67,MATCH($I51,$C$50:$C$67,0)+1)</f>
        <v>#NAME?</v>
      </c>
      <c r="M51" s="2184" t="e">
        <f ca="1">J51+(L51-J51)*((H51-I51)/(K51-I51))</f>
        <v>#NAME?</v>
      </c>
      <c r="N51" s="65" t="e">
        <f ca="1">(G51-M51)*100</f>
        <v>#NAME?</v>
      </c>
      <c r="O51" s="66"/>
      <c r="P51" s="1202"/>
    </row>
    <row r="52" spans="2:16" ht="15" customHeight="1">
      <c r="B52" s="63" t="s">
        <v>435</v>
      </c>
      <c r="C52" s="58">
        <v>2</v>
      </c>
      <c r="D52" s="64" t="e">
        <f ca="1">_xll.BDP($B52,D$49)</f>
        <v>#NAME?</v>
      </c>
      <c r="E52" s="13"/>
      <c r="F52" s="13"/>
      <c r="G52" s="13"/>
      <c r="H52" s="13"/>
      <c r="I52" s="2013"/>
      <c r="J52" s="2013"/>
      <c r="K52" s="2013"/>
      <c r="L52" s="2013"/>
      <c r="M52" s="13"/>
      <c r="N52" s="13"/>
      <c r="O52" s="67"/>
      <c r="P52" s="1202"/>
    </row>
    <row r="53" spans="2:16" ht="15" customHeight="1">
      <c r="B53" s="63" t="s">
        <v>436</v>
      </c>
      <c r="C53" s="58">
        <v>3</v>
      </c>
      <c r="D53" s="64" t="e">
        <f ca="1">_xll.BDP($B53,D$49)</f>
        <v>#NAME?</v>
      </c>
      <c r="E53" s="13"/>
      <c r="F53" s="68"/>
      <c r="G53" s="68"/>
      <c r="H53" s="68"/>
      <c r="I53" s="68"/>
      <c r="J53" s="68"/>
      <c r="K53" s="68"/>
      <c r="L53" s="68"/>
      <c r="M53" s="68"/>
      <c r="N53" s="13"/>
      <c r="O53" s="13"/>
      <c r="P53" s="1202"/>
    </row>
    <row r="54" spans="2:16" ht="15" customHeight="1">
      <c r="B54" s="63" t="s">
        <v>437</v>
      </c>
      <c r="C54" s="58">
        <v>4</v>
      </c>
      <c r="D54" s="64" t="e">
        <f ca="1">_xll.BDP($B54,D$49)</f>
        <v>#NAME?</v>
      </c>
      <c r="E54" s="13"/>
      <c r="F54" s="320" t="s">
        <v>507</v>
      </c>
      <c r="G54" s="330" t="s">
        <v>508</v>
      </c>
      <c r="H54" s="330"/>
      <c r="I54" s="330"/>
      <c r="J54" s="2179" t="s">
        <v>509</v>
      </c>
      <c r="K54" s="330"/>
      <c r="L54" s="330"/>
      <c r="M54" s="931" t="s">
        <v>510</v>
      </c>
      <c r="N54" s="462" t="s">
        <v>590</v>
      </c>
      <c r="O54" s="330"/>
      <c r="P54" s="1202"/>
    </row>
    <row r="55" spans="2:16" ht="15" customHeight="1">
      <c r="B55" s="63" t="s">
        <v>438</v>
      </c>
      <c r="C55" s="58">
        <v>5</v>
      </c>
      <c r="D55" s="64" t="e">
        <f ca="1">_xll.BDP($B55,D$49)</f>
        <v>#NAME?</v>
      </c>
      <c r="E55" s="13"/>
      <c r="F55" s="320" t="s">
        <v>511</v>
      </c>
      <c r="G55" s="330"/>
      <c r="H55" s="330"/>
      <c r="I55" s="330"/>
      <c r="J55" s="330"/>
      <c r="K55" s="750"/>
      <c r="L55" s="930" t="s">
        <v>1655</v>
      </c>
      <c r="M55" s="320"/>
      <c r="N55" s="750"/>
      <c r="O55" s="330"/>
      <c r="P55" s="1202"/>
    </row>
    <row r="56" spans="2:16" ht="15" customHeight="1">
      <c r="B56" s="63" t="s">
        <v>439</v>
      </c>
      <c r="C56" s="58">
        <v>6</v>
      </c>
      <c r="D56" s="64" t="e">
        <f ca="1">_xll.BDP($B56,D$49)</f>
        <v>#NAME?</v>
      </c>
      <c r="E56" s="13"/>
      <c r="F56" s="330"/>
      <c r="G56" s="330"/>
      <c r="H56" s="330"/>
      <c r="I56" s="2180" t="s">
        <v>2054</v>
      </c>
      <c r="J56" s="2179"/>
      <c r="K56" s="2179"/>
      <c r="L56" s="2179"/>
      <c r="M56" s="2179"/>
      <c r="N56" s="320"/>
      <c r="O56" s="330"/>
      <c r="P56" s="1202"/>
    </row>
    <row r="57" spans="2:16" ht="15" customHeight="1">
      <c r="B57" s="63" t="s">
        <v>440</v>
      </c>
      <c r="C57" s="58">
        <v>7</v>
      </c>
      <c r="D57" s="64" t="e">
        <f ca="1">_xll.BDP($B57,D$49)</f>
        <v>#NAME?</v>
      </c>
      <c r="E57" s="13"/>
      <c r="F57" s="330"/>
      <c r="G57" s="330"/>
      <c r="H57" s="320"/>
      <c r="I57" s="2180"/>
      <c r="J57" s="2180" t="s">
        <v>2055</v>
      </c>
      <c r="K57" s="2179"/>
      <c r="L57" s="2179"/>
      <c r="M57" s="2179"/>
      <c r="N57" s="330"/>
      <c r="O57" s="330"/>
      <c r="P57" s="1202"/>
    </row>
    <row r="58" spans="2:16" ht="15" customHeight="1">
      <c r="B58" s="63" t="s">
        <v>441</v>
      </c>
      <c r="C58" s="58">
        <v>8</v>
      </c>
      <c r="D58" s="64" t="e">
        <f ca="1">_xll.BDP($B58,D$49)</f>
        <v>#NAME?</v>
      </c>
      <c r="E58" s="13"/>
      <c r="F58" s="330"/>
      <c r="G58" s="330"/>
      <c r="H58" s="320"/>
      <c r="I58" s="2180"/>
      <c r="J58" s="2179"/>
      <c r="K58" s="2180" t="s">
        <v>2056</v>
      </c>
      <c r="L58" s="2179"/>
      <c r="M58" s="2179"/>
      <c r="N58" s="330"/>
      <c r="O58" s="330"/>
      <c r="P58" s="1202"/>
    </row>
    <row r="59" spans="2:16" ht="15" customHeight="1">
      <c r="B59" s="63" t="s">
        <v>442</v>
      </c>
      <c r="C59" s="58">
        <v>9</v>
      </c>
      <c r="D59" s="64" t="e">
        <f ca="1">_xll.BDP($B59,D$49)</f>
        <v>#NAME?</v>
      </c>
      <c r="E59" s="13"/>
      <c r="F59" s="68"/>
      <c r="G59" s="68"/>
      <c r="H59" s="69"/>
      <c r="I59" s="2180"/>
      <c r="J59" s="2179"/>
      <c r="K59" s="2179"/>
      <c r="L59" s="2180" t="s">
        <v>2057</v>
      </c>
      <c r="M59" s="2179"/>
      <c r="N59" s="13"/>
      <c r="O59" s="13"/>
      <c r="P59" s="1202"/>
    </row>
    <row r="60" spans="2:16" ht="15" customHeight="1">
      <c r="B60" s="63" t="s">
        <v>443</v>
      </c>
      <c r="C60" s="58">
        <v>10</v>
      </c>
      <c r="D60" s="64" t="e">
        <f ca="1">_xll.BDP($B60,D$49)</f>
        <v>#NAME?</v>
      </c>
      <c r="E60" s="13"/>
      <c r="F60" s="68"/>
      <c r="G60" s="68"/>
      <c r="H60" s="69"/>
      <c r="I60" s="70"/>
      <c r="J60" s="68"/>
      <c r="K60" s="68"/>
      <c r="L60" s="68"/>
      <c r="M60" s="68"/>
      <c r="N60" s="13"/>
      <c r="O60" s="13"/>
      <c r="P60" s="1202"/>
    </row>
    <row r="61" spans="2:16" ht="15" customHeight="1">
      <c r="B61" s="63" t="s">
        <v>445</v>
      </c>
      <c r="C61" s="58">
        <v>12</v>
      </c>
      <c r="D61" s="64" t="e">
        <f ca="1">_xll.BDP($B61,D$49)</f>
        <v>#NAME?</v>
      </c>
      <c r="E61" s="13"/>
      <c r="F61" s="68"/>
      <c r="G61" s="68"/>
      <c r="H61" s="69"/>
      <c r="I61" s="70"/>
      <c r="J61" s="68"/>
      <c r="K61" s="68"/>
      <c r="L61" s="68"/>
      <c r="M61" s="68"/>
      <c r="N61" s="13"/>
      <c r="O61" s="13"/>
      <c r="P61" s="1202"/>
    </row>
    <row r="62" spans="2:16" ht="15" customHeight="1">
      <c r="B62" s="63" t="s">
        <v>446</v>
      </c>
      <c r="C62" s="58">
        <v>15</v>
      </c>
      <c r="D62" s="64" t="e">
        <f ca="1">_xll.BDP($B62,D$49)</f>
        <v>#NAME?</v>
      </c>
      <c r="E62" s="13"/>
      <c r="F62" s="68"/>
      <c r="G62" s="68"/>
      <c r="H62" s="69"/>
      <c r="I62" s="70"/>
      <c r="J62" s="68"/>
      <c r="K62" s="68"/>
      <c r="L62" s="68"/>
      <c r="M62" s="68"/>
      <c r="N62" s="13"/>
      <c r="O62" s="13"/>
      <c r="P62" s="1202"/>
    </row>
    <row r="63" spans="2:16" ht="15" customHeight="1">
      <c r="B63" s="63" t="s">
        <v>450</v>
      </c>
      <c r="C63" s="58">
        <v>20</v>
      </c>
      <c r="D63" s="64" t="e">
        <f ca="1">_xll.BDP($B63,D$49)</f>
        <v>#NAME?</v>
      </c>
      <c r="E63" s="13"/>
      <c r="F63" s="68"/>
      <c r="G63" s="68"/>
      <c r="H63" s="69"/>
      <c r="I63" s="70"/>
      <c r="J63" s="68"/>
      <c r="K63" s="68"/>
      <c r="L63" s="68"/>
      <c r="M63" s="68"/>
      <c r="N63" s="13"/>
      <c r="O63" s="13"/>
      <c r="P63" s="1202"/>
    </row>
    <row r="64" spans="2:16" ht="15" customHeight="1">
      <c r="B64" s="63" t="s">
        <v>455</v>
      </c>
      <c r="C64" s="58">
        <v>25</v>
      </c>
      <c r="D64" s="64" t="e">
        <f ca="1">_xll.BDP($B64,D$49)</f>
        <v>#NAME?</v>
      </c>
      <c r="E64" s="13"/>
      <c r="F64" s="68"/>
      <c r="G64" s="68"/>
      <c r="H64" s="68"/>
      <c r="I64" s="68"/>
      <c r="J64" s="68"/>
      <c r="K64" s="68"/>
      <c r="L64" s="68"/>
      <c r="M64" s="68"/>
      <c r="N64" s="13"/>
      <c r="O64" s="13"/>
      <c r="P64" s="1202"/>
    </row>
    <row r="65" spans="2:16" ht="15" customHeight="1">
      <c r="B65" s="63" t="s">
        <v>456</v>
      </c>
      <c r="C65" s="58">
        <v>30</v>
      </c>
      <c r="D65" s="64" t="e">
        <f ca="1">_xll.BDP($B65,D$49)</f>
        <v>#NAME?</v>
      </c>
      <c r="E65" s="13"/>
      <c r="F65" s="68"/>
      <c r="G65" s="68"/>
      <c r="H65" s="68"/>
      <c r="I65" s="68"/>
      <c r="J65" s="68"/>
      <c r="K65" s="68"/>
      <c r="L65" s="68"/>
      <c r="M65" s="68"/>
      <c r="N65" s="13"/>
      <c r="O65" s="13"/>
      <c r="P65" s="1202"/>
    </row>
    <row r="66" spans="2:16" ht="15" customHeight="1">
      <c r="B66" s="63" t="s">
        <v>457</v>
      </c>
      <c r="C66" s="58">
        <v>40</v>
      </c>
      <c r="D66" s="64" t="e">
        <f ca="1">_xll.BDP($B66,D$49)</f>
        <v>#NAME?</v>
      </c>
      <c r="E66" s="13"/>
      <c r="F66" s="13"/>
      <c r="G66" s="13"/>
      <c r="H66" s="13"/>
      <c r="I66" s="13"/>
      <c r="J66" s="13"/>
      <c r="K66" s="13"/>
      <c r="L66" s="13"/>
      <c r="M66" s="13"/>
      <c r="N66" s="13"/>
      <c r="O66" s="13"/>
      <c r="P66" s="1202"/>
    </row>
    <row r="67" spans="2:16" ht="15" customHeight="1">
      <c r="B67" s="63" t="s">
        <v>458</v>
      </c>
      <c r="C67" s="58">
        <v>50</v>
      </c>
      <c r="D67" s="64" t="e">
        <f ca="1">_xll.BDP($B67,D$49)</f>
        <v>#NAME?</v>
      </c>
      <c r="E67" s="13"/>
      <c r="F67" s="13"/>
      <c r="G67" s="42"/>
      <c r="H67" s="13"/>
      <c r="I67" s="13"/>
      <c r="J67" s="13"/>
      <c r="K67" s="13"/>
      <c r="L67" s="13"/>
      <c r="M67" s="13"/>
      <c r="N67" s="13"/>
      <c r="O67" s="13"/>
      <c r="P67" s="1202"/>
    </row>
    <row r="68" spans="2:16" ht="15" customHeight="1">
      <c r="B68" s="40"/>
      <c r="C68" s="13"/>
      <c r="D68" s="13"/>
      <c r="E68" s="13"/>
      <c r="F68" s="13"/>
      <c r="G68" s="13"/>
      <c r="H68" s="13"/>
      <c r="I68" s="13"/>
      <c r="J68" s="13"/>
      <c r="K68" s="13"/>
      <c r="L68" s="13"/>
      <c r="M68" s="13"/>
      <c r="N68" s="13"/>
      <c r="O68" s="13"/>
      <c r="P68" s="1202"/>
    </row>
    <row r="69" spans="2:16" ht="15" customHeight="1">
      <c r="B69" s="40"/>
      <c r="C69" s="13"/>
      <c r="D69" s="13"/>
      <c r="E69" s="13"/>
      <c r="F69" s="13"/>
      <c r="G69" s="13"/>
      <c r="H69" s="13"/>
      <c r="I69" s="13"/>
      <c r="J69" s="13"/>
      <c r="K69" s="13"/>
      <c r="L69" s="13"/>
      <c r="M69" s="13"/>
      <c r="N69" s="13"/>
      <c r="O69" s="13"/>
      <c r="P69" s="1202"/>
    </row>
    <row r="70" spans="2:16" ht="15" customHeight="1">
      <c r="B70" s="40"/>
      <c r="C70" s="320" t="s">
        <v>512</v>
      </c>
      <c r="D70" s="320" t="s">
        <v>513</v>
      </c>
      <c r="E70" s="13"/>
      <c r="F70" s="13"/>
      <c r="G70" s="13"/>
      <c r="H70" s="13"/>
      <c r="I70" s="13"/>
      <c r="J70" s="13"/>
      <c r="K70" s="13"/>
      <c r="L70" s="13"/>
      <c r="M70" s="13"/>
      <c r="N70" s="13"/>
      <c r="O70" s="13"/>
      <c r="P70" s="1202"/>
    </row>
    <row r="71" spans="2:16" ht="15" customHeight="1">
      <c r="B71" s="40"/>
      <c r="C71" s="320" t="s">
        <v>514</v>
      </c>
      <c r="D71" s="331" t="s">
        <v>515</v>
      </c>
      <c r="E71" s="13"/>
      <c r="F71" s="13"/>
      <c r="G71" s="13"/>
      <c r="H71" s="13"/>
      <c r="I71" s="13"/>
      <c r="J71" s="13"/>
      <c r="K71" s="13"/>
      <c r="L71" s="13"/>
      <c r="M71" s="13"/>
      <c r="N71" s="13"/>
      <c r="O71" s="13"/>
      <c r="P71" s="1202"/>
    </row>
    <row r="72" spans="2:16" ht="15" customHeight="1">
      <c r="B72" s="41"/>
      <c r="C72" s="33"/>
      <c r="D72" s="33"/>
      <c r="E72" s="33"/>
      <c r="F72" s="33"/>
      <c r="G72" s="33"/>
      <c r="H72" s="33"/>
      <c r="I72" s="33"/>
      <c r="J72" s="33"/>
      <c r="K72" s="33"/>
      <c r="L72" s="33"/>
      <c r="M72" s="33"/>
      <c r="N72" s="33"/>
      <c r="O72" s="33"/>
      <c r="P72" s="1202"/>
    </row>
    <row r="73" spans="2:16" ht="15" customHeight="1">
      <c r="B73" s="1154"/>
      <c r="C73" s="1154"/>
      <c r="D73" s="1154"/>
      <c r="E73" s="1154"/>
      <c r="F73" s="1154"/>
      <c r="G73" s="1154"/>
      <c r="H73" s="1154"/>
      <c r="I73" s="1154"/>
      <c r="J73" s="1154"/>
      <c r="K73" s="1154"/>
      <c r="L73" s="1154"/>
      <c r="M73" s="1154"/>
      <c r="N73" s="1154"/>
      <c r="O73" s="1154"/>
    </row>
    <row r="74" spans="2:16" ht="15" customHeight="1">
      <c r="B74" s="1119"/>
      <c r="C74" s="1119"/>
      <c r="D74" s="1119"/>
      <c r="E74" s="1118"/>
      <c r="F74" s="1154"/>
      <c r="G74" s="1154"/>
      <c r="H74" s="1154"/>
      <c r="I74" s="1154"/>
      <c r="J74" s="1154"/>
      <c r="K74" s="1154"/>
      <c r="L74" s="1154"/>
      <c r="M74" s="1154"/>
      <c r="N74" s="1154"/>
      <c r="O74" s="1154"/>
    </row>
    <row r="75" spans="2:16" ht="15" customHeight="1">
      <c r="B75" s="1118"/>
      <c r="C75" s="1118"/>
      <c r="D75" s="1119"/>
      <c r="E75" s="1118"/>
      <c r="F75" s="1154"/>
      <c r="G75" s="1154"/>
      <c r="H75" s="1154"/>
      <c r="I75" s="1154"/>
      <c r="J75" s="1154"/>
      <c r="K75" s="1154"/>
      <c r="L75" s="1154"/>
      <c r="M75" s="1154"/>
      <c r="N75" s="1154"/>
      <c r="O75" s="1154"/>
    </row>
    <row r="76" spans="2:16" ht="15" customHeight="1">
      <c r="B76" s="1118"/>
      <c r="C76" s="1118"/>
      <c r="D76" s="1119"/>
      <c r="E76" s="1118"/>
      <c r="F76" s="1154"/>
      <c r="G76" s="1154"/>
      <c r="H76" s="1154"/>
      <c r="I76" s="1154"/>
      <c r="J76" s="1154"/>
      <c r="K76" s="1154"/>
      <c r="L76" s="1154"/>
      <c r="M76" s="1154"/>
      <c r="N76" s="1154"/>
      <c r="O76" s="1154"/>
    </row>
    <row r="77" spans="2:16" ht="15" customHeight="1">
      <c r="B77" s="1118"/>
      <c r="C77" s="1118"/>
      <c r="D77" s="1119"/>
      <c r="E77" s="1118"/>
      <c r="F77" s="1154"/>
      <c r="G77" s="1154"/>
      <c r="H77" s="1154"/>
      <c r="I77" s="1154"/>
      <c r="J77" s="1154"/>
      <c r="K77" s="1154"/>
      <c r="L77" s="1154"/>
      <c r="M77" s="1154"/>
      <c r="N77" s="1154"/>
      <c r="O77" s="1154"/>
    </row>
    <row r="78" spans="2:16" ht="15" customHeight="1">
      <c r="B78" s="1118"/>
      <c r="C78" s="1118"/>
      <c r="D78" s="1119"/>
      <c r="E78" s="1118"/>
      <c r="F78" s="1154"/>
      <c r="G78" s="1154"/>
      <c r="H78" s="1154"/>
      <c r="I78" s="1154"/>
      <c r="J78" s="1154"/>
      <c r="K78" s="1154"/>
      <c r="L78" s="1154"/>
      <c r="M78" s="1154"/>
      <c r="N78" s="1154"/>
      <c r="O78" s="1154"/>
    </row>
    <row r="79" spans="2:16" ht="15" customHeight="1">
      <c r="B79" s="1118"/>
      <c r="C79" s="1118"/>
      <c r="D79" s="1119"/>
      <c r="E79" s="1118"/>
      <c r="F79" s="1154"/>
      <c r="G79" s="1154"/>
      <c r="H79" s="1154"/>
      <c r="I79" s="1154"/>
      <c r="J79" s="1154"/>
      <c r="K79" s="1154"/>
      <c r="L79" s="1154"/>
      <c r="M79" s="1154"/>
      <c r="N79" s="1154"/>
      <c r="O79" s="1154"/>
    </row>
    <row r="80" spans="2:16" ht="15" customHeight="1">
      <c r="B80" s="1118"/>
      <c r="C80" s="1118"/>
      <c r="D80" s="1119"/>
      <c r="E80" s="1118"/>
      <c r="F80" s="1154"/>
      <c r="G80" s="1154"/>
      <c r="H80" s="1154"/>
      <c r="I80" s="1154"/>
      <c r="J80" s="1154"/>
      <c r="K80" s="1154"/>
      <c r="L80" s="1154"/>
      <c r="M80" s="1154"/>
      <c r="N80" s="1154"/>
      <c r="O80" s="1154"/>
    </row>
    <row r="81" spans="2:15" ht="15" customHeight="1">
      <c r="B81" s="1118"/>
      <c r="C81" s="1118"/>
      <c r="D81" s="1119"/>
      <c r="E81" s="1118"/>
      <c r="F81" s="1154"/>
      <c r="G81" s="1154"/>
      <c r="H81" s="1154"/>
      <c r="I81" s="1154"/>
      <c r="J81" s="1154"/>
      <c r="K81" s="1154"/>
      <c r="L81" s="1154"/>
      <c r="M81" s="1154"/>
      <c r="N81" s="1154"/>
      <c r="O81" s="1154"/>
    </row>
    <row r="82" spans="2:15" ht="15" customHeight="1">
      <c r="B82" s="1118"/>
      <c r="C82" s="1118"/>
      <c r="D82" s="1119"/>
      <c r="E82" s="1118"/>
      <c r="F82" s="1154"/>
      <c r="G82" s="1154"/>
      <c r="H82" s="1154"/>
      <c r="I82" s="1154"/>
      <c r="J82" s="1154"/>
      <c r="K82" s="1154"/>
      <c r="L82" s="1154"/>
      <c r="M82" s="1154"/>
      <c r="N82" s="1154"/>
      <c r="O82" s="1154"/>
    </row>
    <row r="83" spans="2:15" ht="15" customHeight="1">
      <c r="B83" s="1118"/>
      <c r="C83" s="1118"/>
      <c r="D83" s="1119"/>
      <c r="E83" s="1118"/>
      <c r="F83" s="1154"/>
      <c r="G83" s="1154"/>
      <c r="H83" s="1154"/>
      <c r="I83" s="1154"/>
      <c r="J83" s="1154"/>
      <c r="K83" s="1154"/>
      <c r="L83" s="1154"/>
      <c r="M83" s="1154"/>
      <c r="N83" s="1154"/>
      <c r="O83" s="1154"/>
    </row>
    <row r="84" spans="2:15" ht="15" customHeight="1">
      <c r="B84" s="1154"/>
      <c r="C84" s="1154"/>
      <c r="D84" s="1154"/>
      <c r="E84" s="1154"/>
      <c r="F84" s="1154"/>
      <c r="G84" s="1154"/>
      <c r="H84" s="1154"/>
      <c r="I84" s="1154"/>
      <c r="J84" s="1154"/>
      <c r="K84" s="1154"/>
      <c r="L84" s="1154"/>
      <c r="M84" s="1154"/>
      <c r="N84" s="1154"/>
      <c r="O84" s="1154"/>
    </row>
    <row r="85" spans="2:15" ht="15" customHeight="1">
      <c r="B85" s="1154"/>
      <c r="C85" s="1154"/>
      <c r="D85" s="1154"/>
      <c r="E85" s="1154"/>
      <c r="F85" s="1154"/>
      <c r="G85" s="1154"/>
      <c r="H85" s="1154"/>
      <c r="I85" s="1154"/>
      <c r="J85" s="1154"/>
      <c r="K85" s="1154"/>
      <c r="L85" s="1154"/>
      <c r="M85" s="1154"/>
      <c r="N85" s="1154"/>
      <c r="O85" s="1154"/>
    </row>
    <row r="86" spans="2:15" ht="15" customHeight="1">
      <c r="B86" s="1154"/>
      <c r="C86" s="1154"/>
      <c r="D86" s="1154"/>
      <c r="E86" s="1154"/>
      <c r="F86" s="1154"/>
      <c r="G86" s="1154"/>
      <c r="H86" s="1154"/>
      <c r="I86" s="1154"/>
      <c r="J86" s="1154"/>
      <c r="K86" s="1154"/>
      <c r="L86" s="1154"/>
      <c r="M86" s="1154"/>
      <c r="N86" s="1154"/>
      <c r="O86" s="1154"/>
    </row>
    <row r="87" spans="2:15" ht="15" customHeight="1">
      <c r="B87" s="1154"/>
      <c r="C87" s="1154"/>
      <c r="D87" s="1154"/>
      <c r="E87" s="1154"/>
      <c r="F87" s="1154"/>
      <c r="G87" s="1154"/>
      <c r="H87" s="1154"/>
      <c r="I87" s="1154"/>
      <c r="J87" s="1154"/>
      <c r="K87" s="1154"/>
      <c r="L87" s="1154"/>
      <c r="M87" s="1154"/>
      <c r="N87" s="1154"/>
      <c r="O87" s="1154"/>
    </row>
    <row r="88" spans="2:15" ht="15" customHeight="1">
      <c r="B88" s="1154"/>
      <c r="C88" s="1154"/>
      <c r="D88" s="1154"/>
      <c r="E88" s="1154"/>
      <c r="F88" s="1154"/>
      <c r="G88" s="1154"/>
      <c r="H88" s="1154"/>
      <c r="I88" s="1154"/>
      <c r="J88" s="1154"/>
      <c r="K88" s="1154"/>
      <c r="L88" s="1154"/>
      <c r="M88" s="1154"/>
      <c r="N88" s="1154"/>
      <c r="O88" s="1154"/>
    </row>
    <row r="89" spans="2:15" ht="15" customHeight="1">
      <c r="B89" s="1154"/>
      <c r="C89" s="1154"/>
      <c r="D89" s="1154"/>
      <c r="E89" s="1154"/>
      <c r="F89" s="1154"/>
      <c r="G89" s="1154"/>
      <c r="H89" s="1154"/>
      <c r="I89" s="1154"/>
      <c r="J89" s="1154"/>
      <c r="K89" s="1154"/>
      <c r="L89" s="1154"/>
      <c r="M89" s="1154"/>
      <c r="N89" s="1154"/>
      <c r="O89" s="1154"/>
    </row>
    <row r="90" spans="2:15" ht="15" customHeight="1">
      <c r="B90" s="1154"/>
      <c r="C90" s="1154"/>
      <c r="D90" s="1154"/>
      <c r="E90" s="1154"/>
      <c r="F90" s="1154"/>
      <c r="G90" s="1154"/>
      <c r="H90" s="1154"/>
      <c r="I90" s="1154"/>
      <c r="J90" s="1154"/>
      <c r="K90" s="1154"/>
      <c r="L90" s="1154"/>
      <c r="M90" s="1154"/>
      <c r="N90" s="1154"/>
      <c r="O90" s="1154"/>
    </row>
    <row r="91" spans="2:15" ht="15" customHeight="1">
      <c r="B91" s="1154"/>
      <c r="C91" s="1154"/>
      <c r="D91" s="1154"/>
      <c r="E91" s="1154"/>
      <c r="F91" s="1154"/>
      <c r="G91" s="1154"/>
      <c r="H91" s="1154"/>
      <c r="I91" s="1154"/>
      <c r="J91" s="1154"/>
      <c r="K91" s="1154"/>
      <c r="L91" s="1154"/>
      <c r="M91" s="1154"/>
      <c r="N91" s="1154"/>
      <c r="O91" s="1154"/>
    </row>
    <row r="92" spans="2:15" ht="15" customHeight="1">
      <c r="B92" s="1154"/>
      <c r="C92" s="1154"/>
      <c r="D92" s="1154"/>
      <c r="E92" s="1154"/>
      <c r="F92" s="1154"/>
      <c r="G92" s="1154"/>
      <c r="H92" s="1154"/>
      <c r="I92" s="1154"/>
      <c r="J92" s="1154"/>
      <c r="K92" s="1154"/>
      <c r="L92" s="1154"/>
      <c r="M92" s="1154"/>
      <c r="N92" s="1154"/>
      <c r="O92" s="1154"/>
    </row>
    <row r="93" spans="2:15" ht="15" customHeight="1">
      <c r="B93" s="1154"/>
      <c r="C93" s="1154"/>
      <c r="D93" s="1154"/>
      <c r="E93" s="1154"/>
      <c r="F93" s="1154"/>
      <c r="G93" s="1154"/>
      <c r="H93" s="1154"/>
      <c r="I93" s="1154"/>
      <c r="J93" s="1154"/>
      <c r="K93" s="1154"/>
      <c r="L93" s="1154"/>
      <c r="M93" s="1154"/>
      <c r="N93" s="1154"/>
      <c r="O93" s="1154"/>
    </row>
    <row r="94" spans="2:15" ht="15" customHeight="1">
      <c r="B94" s="1154"/>
      <c r="C94" s="1154"/>
      <c r="D94" s="1154"/>
      <c r="E94" s="1154"/>
      <c r="F94" s="1154"/>
      <c r="G94" s="1154"/>
      <c r="H94" s="1154"/>
      <c r="I94" s="1154"/>
      <c r="J94" s="1154"/>
      <c r="K94" s="1154"/>
      <c r="L94" s="1154"/>
      <c r="M94" s="1154"/>
      <c r="N94" s="1154"/>
      <c r="O94" s="1154"/>
    </row>
    <row r="95" spans="2:15" ht="15" customHeight="1">
      <c r="B95" s="1154"/>
      <c r="C95" s="1154"/>
      <c r="D95" s="1154"/>
      <c r="E95" s="1154"/>
      <c r="F95" s="1154"/>
      <c r="G95" s="1154"/>
      <c r="H95" s="1154"/>
      <c r="I95" s="1154"/>
      <c r="J95" s="1154"/>
      <c r="K95" s="1154"/>
      <c r="L95" s="1154"/>
      <c r="M95" s="1154"/>
      <c r="N95" s="1154"/>
      <c r="O95" s="1154"/>
    </row>
    <row r="96" spans="2:15" ht="15" customHeight="1">
      <c r="B96" s="1154"/>
      <c r="C96" s="1154"/>
      <c r="D96" s="1154"/>
      <c r="E96" s="1154"/>
      <c r="F96" s="1154"/>
      <c r="G96" s="1154"/>
      <c r="H96" s="1154"/>
      <c r="I96" s="1154"/>
      <c r="J96" s="1154"/>
      <c r="K96" s="1154"/>
      <c r="L96" s="1154"/>
      <c r="M96" s="1154"/>
      <c r="N96" s="1154"/>
      <c r="O96" s="1154"/>
    </row>
    <row r="97" spans="2:15" ht="15" customHeight="1">
      <c r="B97" s="1154"/>
      <c r="C97" s="1154"/>
      <c r="D97" s="1154"/>
      <c r="E97" s="1154"/>
      <c r="F97" s="1154"/>
      <c r="G97" s="1154"/>
      <c r="H97" s="1154"/>
      <c r="I97" s="1154"/>
      <c r="J97" s="1154"/>
      <c r="K97" s="1154"/>
      <c r="L97" s="1154"/>
      <c r="M97" s="1154"/>
      <c r="N97" s="1154"/>
      <c r="O97" s="1154"/>
    </row>
    <row r="98" spans="2:15" ht="15" customHeight="1">
      <c r="B98" s="1154"/>
      <c r="C98" s="1154"/>
      <c r="D98" s="1154"/>
      <c r="E98" s="1154"/>
      <c r="F98" s="1154"/>
      <c r="G98" s="1154"/>
      <c r="H98" s="1154"/>
      <c r="I98" s="1154"/>
      <c r="J98" s="1154"/>
      <c r="K98" s="1154"/>
      <c r="L98" s="1154"/>
      <c r="M98" s="1154"/>
      <c r="N98" s="1154"/>
      <c r="O98" s="1154"/>
    </row>
    <row r="99" spans="2:15" ht="15" customHeight="1">
      <c r="B99" s="1154"/>
      <c r="C99" s="1154"/>
      <c r="D99" s="1154"/>
      <c r="E99" s="1154"/>
      <c r="F99" s="1154"/>
      <c r="G99" s="1154"/>
      <c r="H99" s="1154"/>
      <c r="I99" s="1154"/>
      <c r="J99" s="1154"/>
      <c r="K99" s="1154"/>
      <c r="L99" s="1154"/>
      <c r="M99" s="1154"/>
      <c r="N99" s="1154"/>
      <c r="O99" s="1154"/>
    </row>
    <row r="100" spans="2:15" ht="15" customHeight="1">
      <c r="B100" s="1154"/>
      <c r="C100" s="1154"/>
      <c r="D100" s="1154"/>
      <c r="E100" s="1154"/>
      <c r="F100" s="1154"/>
      <c r="G100" s="1154"/>
      <c r="H100" s="1154"/>
      <c r="I100" s="1154"/>
      <c r="J100" s="1154"/>
      <c r="K100" s="1154"/>
      <c r="L100" s="1154"/>
      <c r="M100" s="1154"/>
      <c r="N100" s="1154"/>
      <c r="O100" s="1154"/>
    </row>
    <row r="101" spans="2:15" ht="15" customHeight="1">
      <c r="B101" s="1154"/>
      <c r="C101" s="1154"/>
      <c r="D101" s="1154"/>
      <c r="E101" s="1154"/>
      <c r="F101" s="1154"/>
      <c r="G101" s="1154"/>
      <c r="H101" s="1154"/>
      <c r="I101" s="1154"/>
      <c r="J101" s="1154"/>
      <c r="K101" s="1154"/>
      <c r="L101" s="1154"/>
      <c r="M101" s="1154"/>
      <c r="N101" s="1154"/>
      <c r="O101" s="1154"/>
    </row>
    <row r="102" spans="2:15" ht="15" customHeight="1">
      <c r="B102" s="1154"/>
      <c r="C102" s="1154"/>
      <c r="D102" s="1154"/>
      <c r="E102" s="1154"/>
      <c r="F102" s="1154"/>
      <c r="G102" s="1154"/>
      <c r="H102" s="1154"/>
      <c r="I102" s="1154"/>
      <c r="J102" s="1154"/>
      <c r="K102" s="1154"/>
      <c r="L102" s="1154"/>
      <c r="M102" s="1154"/>
      <c r="N102" s="1154"/>
      <c r="O102" s="1154"/>
    </row>
    <row r="103" spans="2:15" ht="15" customHeight="1">
      <c r="B103" s="1154"/>
      <c r="C103" s="1154"/>
      <c r="D103" s="1154"/>
      <c r="E103" s="1154"/>
      <c r="F103" s="1154"/>
      <c r="G103" s="1154"/>
      <c r="H103" s="1154"/>
      <c r="I103" s="1154"/>
      <c r="J103" s="1154"/>
      <c r="K103" s="1154"/>
      <c r="L103" s="1154"/>
      <c r="M103" s="1154"/>
      <c r="N103" s="1154"/>
      <c r="O103" s="1154"/>
    </row>
    <row r="104" spans="2:15" ht="15" customHeight="1">
      <c r="B104" s="1154"/>
      <c r="C104" s="1154"/>
      <c r="D104" s="1154"/>
      <c r="E104" s="1154"/>
      <c r="F104" s="1154"/>
      <c r="G104" s="1154"/>
      <c r="H104" s="1154"/>
      <c r="I104" s="1154"/>
      <c r="J104" s="1154"/>
      <c r="K104" s="1154"/>
      <c r="L104" s="1154"/>
      <c r="M104" s="1154"/>
      <c r="N104" s="1154"/>
      <c r="O104" s="1154"/>
    </row>
    <row r="105" spans="2:15" ht="15" customHeight="1">
      <c r="B105" s="1154"/>
      <c r="C105" s="1154"/>
      <c r="D105" s="1154"/>
      <c r="E105" s="1154"/>
      <c r="F105" s="1154"/>
      <c r="G105" s="1154"/>
      <c r="H105" s="1154"/>
      <c r="I105" s="1154"/>
      <c r="J105" s="1154"/>
      <c r="K105" s="1154"/>
      <c r="L105" s="1154"/>
      <c r="M105" s="1154"/>
      <c r="N105" s="1154"/>
      <c r="O105" s="1154"/>
    </row>
    <row r="106" spans="2:15" ht="15" customHeight="1">
      <c r="B106" s="1154"/>
      <c r="C106" s="1154"/>
      <c r="D106" s="1154"/>
      <c r="E106" s="1154"/>
      <c r="F106" s="1154"/>
      <c r="G106" s="1154"/>
      <c r="H106" s="1154"/>
      <c r="I106" s="1154"/>
      <c r="J106" s="1154"/>
      <c r="K106" s="1154"/>
      <c r="L106" s="1154"/>
      <c r="M106" s="1154"/>
      <c r="N106" s="1154"/>
      <c r="O106" s="1154"/>
    </row>
    <row r="107" spans="2:15" ht="15" customHeight="1">
      <c r="B107" s="1154"/>
      <c r="C107" s="1154"/>
      <c r="D107" s="1154"/>
      <c r="E107" s="1154"/>
      <c r="F107" s="1154"/>
      <c r="G107" s="1154"/>
      <c r="H107" s="1154"/>
      <c r="I107" s="1154"/>
      <c r="J107" s="1154"/>
      <c r="K107" s="1154"/>
      <c r="L107" s="1154"/>
      <c r="M107" s="1154"/>
      <c r="N107" s="1154"/>
      <c r="O107" s="1154"/>
    </row>
    <row r="108" spans="2:15" ht="15" customHeight="1">
      <c r="B108" s="1154"/>
      <c r="C108" s="1154"/>
      <c r="D108" s="1154"/>
      <c r="E108" s="1154"/>
      <c r="F108" s="1154"/>
      <c r="G108" s="1154"/>
      <c r="H108" s="1154"/>
      <c r="I108" s="1154"/>
      <c r="J108" s="1154"/>
      <c r="K108" s="1154"/>
      <c r="L108" s="1154"/>
      <c r="M108" s="1154"/>
      <c r="N108" s="1154"/>
      <c r="O108" s="1154"/>
    </row>
    <row r="109" spans="2:15" ht="15" customHeight="1">
      <c r="B109" s="1154"/>
      <c r="C109" s="1154"/>
      <c r="D109" s="1154"/>
      <c r="E109" s="1154"/>
      <c r="F109" s="1154"/>
      <c r="G109" s="1154"/>
      <c r="H109" s="1154"/>
      <c r="I109" s="1154"/>
      <c r="J109" s="1154"/>
      <c r="K109" s="1154"/>
      <c r="L109" s="1154"/>
      <c r="M109" s="1154"/>
      <c r="N109" s="1154"/>
      <c r="O109" s="1154"/>
    </row>
    <row r="110" spans="2:15" ht="15" customHeight="1">
      <c r="B110" s="1154"/>
      <c r="C110" s="1154"/>
      <c r="D110" s="1154"/>
      <c r="E110" s="1154"/>
      <c r="F110" s="1154"/>
      <c r="G110" s="1154"/>
      <c r="H110" s="1154"/>
      <c r="I110" s="1154"/>
      <c r="J110" s="1154"/>
      <c r="K110" s="1154"/>
      <c r="L110" s="1154"/>
      <c r="M110" s="1154"/>
      <c r="N110" s="1154"/>
      <c r="O110" s="1154"/>
    </row>
    <row r="111" spans="2:15" ht="15" customHeight="1">
      <c r="B111" s="1154"/>
      <c r="C111" s="1154"/>
      <c r="D111" s="1154"/>
      <c r="E111" s="1154"/>
      <c r="F111" s="1154"/>
      <c r="G111" s="1154"/>
      <c r="H111" s="1154"/>
      <c r="I111" s="1154"/>
      <c r="J111" s="1154"/>
      <c r="K111" s="1154"/>
      <c r="L111" s="1154"/>
      <c r="M111" s="1154"/>
      <c r="N111" s="1154"/>
      <c r="O111" s="1154"/>
    </row>
    <row r="112" spans="2:15" ht="15" customHeight="1">
      <c r="B112" s="1154"/>
      <c r="C112" s="1154"/>
      <c r="D112" s="1154"/>
      <c r="E112" s="1154"/>
      <c r="F112" s="1154"/>
      <c r="G112" s="1154"/>
      <c r="H112" s="1154"/>
      <c r="I112" s="1154"/>
      <c r="J112" s="1154"/>
      <c r="K112" s="1154"/>
      <c r="L112" s="1154"/>
      <c r="M112" s="1154"/>
      <c r="N112" s="1154"/>
      <c r="O112" s="1154"/>
    </row>
    <row r="113" spans="2:15" ht="15" customHeight="1">
      <c r="B113" s="1154"/>
      <c r="C113" s="1154"/>
      <c r="D113" s="1154"/>
      <c r="E113" s="1154"/>
      <c r="F113" s="1154"/>
      <c r="G113" s="1154"/>
      <c r="H113" s="1154"/>
      <c r="I113" s="1154"/>
      <c r="J113" s="1154"/>
      <c r="K113" s="1154"/>
      <c r="L113" s="1154"/>
      <c r="M113" s="1154"/>
      <c r="N113" s="1154"/>
      <c r="O113" s="1154"/>
    </row>
    <row r="114" spans="2:15" ht="15" customHeight="1">
      <c r="B114" s="1154"/>
      <c r="C114" s="1154"/>
      <c r="D114" s="1154"/>
      <c r="E114" s="1154"/>
      <c r="F114" s="1154"/>
      <c r="G114" s="1154"/>
      <c r="H114" s="1154"/>
      <c r="I114" s="1154"/>
      <c r="J114" s="1154"/>
      <c r="K114" s="1154"/>
      <c r="L114" s="1154"/>
      <c r="M114" s="1154"/>
      <c r="N114" s="1154"/>
      <c r="O114" s="1154"/>
    </row>
    <row r="115" spans="2:15" ht="15" customHeight="1">
      <c r="B115" s="1154"/>
      <c r="C115" s="1154"/>
      <c r="D115" s="1154"/>
      <c r="E115" s="1154"/>
      <c r="F115" s="1154"/>
      <c r="G115" s="1154"/>
      <c r="H115" s="1154"/>
      <c r="I115" s="1154"/>
      <c r="J115" s="1154"/>
      <c r="K115" s="1154"/>
      <c r="L115" s="1154"/>
      <c r="M115" s="1154"/>
      <c r="N115" s="1154"/>
      <c r="O115" s="1154"/>
    </row>
    <row r="116" spans="2:15" ht="15" customHeight="1">
      <c r="B116" s="1154"/>
      <c r="C116" s="1154"/>
      <c r="D116" s="1154"/>
      <c r="E116" s="1154"/>
      <c r="F116" s="1154"/>
      <c r="G116" s="1154"/>
      <c r="H116" s="1154"/>
      <c r="I116" s="1154"/>
      <c r="J116" s="1154"/>
      <c r="K116" s="1154"/>
      <c r="L116" s="1154"/>
      <c r="M116" s="1154"/>
      <c r="N116" s="1154"/>
      <c r="O116" s="1154"/>
    </row>
    <row r="117" spans="2:15" ht="15" customHeight="1">
      <c r="B117" s="1154"/>
      <c r="C117" s="1154"/>
      <c r="D117" s="1154"/>
      <c r="E117" s="1154"/>
      <c r="F117" s="1154"/>
      <c r="G117" s="1154"/>
      <c r="H117" s="1154"/>
      <c r="I117" s="1154"/>
      <c r="J117" s="1154"/>
      <c r="K117" s="1154"/>
      <c r="L117" s="1154"/>
      <c r="M117" s="1154"/>
      <c r="N117" s="1154"/>
      <c r="O117" s="1154"/>
    </row>
    <row r="118" spans="2:15" ht="15" customHeight="1">
      <c r="B118" s="1154"/>
      <c r="C118" s="1154"/>
      <c r="D118" s="1154"/>
      <c r="E118" s="1154"/>
      <c r="F118" s="1154"/>
      <c r="G118" s="1154"/>
      <c r="H118" s="1154"/>
      <c r="I118" s="1154"/>
      <c r="J118" s="1154"/>
      <c r="K118" s="1154"/>
      <c r="L118" s="1154"/>
      <c r="M118" s="1154"/>
      <c r="N118" s="1154"/>
      <c r="O118" s="1154"/>
    </row>
    <row r="119" spans="2:15" ht="15" customHeight="1">
      <c r="B119" s="1154"/>
      <c r="C119" s="1154"/>
      <c r="D119" s="1154"/>
      <c r="E119" s="1154"/>
      <c r="F119" s="1154"/>
      <c r="G119" s="1154"/>
      <c r="H119" s="1154"/>
      <c r="I119" s="1154"/>
      <c r="J119" s="1154"/>
      <c r="K119" s="1154"/>
      <c r="L119" s="1154"/>
      <c r="M119" s="1154"/>
      <c r="N119" s="1154"/>
      <c r="O119" s="1154"/>
    </row>
    <row r="120" spans="2:15" ht="15" customHeight="1">
      <c r="B120" s="1154"/>
      <c r="C120" s="1154"/>
      <c r="D120" s="1154"/>
      <c r="E120" s="1154"/>
      <c r="F120" s="1154"/>
      <c r="G120" s="1154"/>
      <c r="H120" s="1154"/>
      <c r="I120" s="1154"/>
      <c r="J120" s="1154"/>
      <c r="K120" s="1154"/>
      <c r="L120" s="1154"/>
      <c r="M120" s="1154"/>
      <c r="N120" s="1154"/>
      <c r="O120" s="1154"/>
    </row>
    <row r="121" spans="2:15" ht="15" customHeight="1">
      <c r="B121" s="1154"/>
      <c r="C121" s="1154"/>
      <c r="D121" s="1154"/>
      <c r="E121" s="1154"/>
      <c r="F121" s="1154"/>
      <c r="G121" s="1154"/>
      <c r="H121" s="1154"/>
      <c r="I121" s="1154"/>
      <c r="J121" s="1154"/>
      <c r="K121" s="1154"/>
      <c r="L121" s="1154"/>
      <c r="M121" s="1154"/>
      <c r="N121" s="1154"/>
      <c r="O121" s="1154"/>
    </row>
    <row r="122" spans="2:15" ht="15" customHeight="1">
      <c r="B122" s="1154"/>
      <c r="C122" s="1154"/>
      <c r="D122" s="1154"/>
      <c r="E122" s="1154"/>
      <c r="F122" s="1154"/>
      <c r="G122" s="1154"/>
      <c r="H122" s="1154"/>
      <c r="I122" s="1154"/>
      <c r="J122" s="1154"/>
      <c r="K122" s="1154"/>
      <c r="L122" s="1154"/>
      <c r="M122" s="1154"/>
      <c r="N122" s="1154"/>
      <c r="O122" s="1154"/>
    </row>
    <row r="123" spans="2:15" ht="15" customHeight="1">
      <c r="B123" s="1154"/>
      <c r="C123" s="1154"/>
      <c r="D123" s="1154"/>
      <c r="E123" s="1154"/>
      <c r="F123" s="1154"/>
      <c r="G123" s="1154"/>
      <c r="H123" s="1154"/>
      <c r="I123" s="1154"/>
      <c r="J123" s="1154"/>
      <c r="K123" s="1154"/>
      <c r="L123" s="1154"/>
      <c r="M123" s="1154"/>
      <c r="N123" s="1154"/>
      <c r="O123" s="1154"/>
    </row>
    <row r="124" spans="2:15" ht="15" customHeight="1">
      <c r="B124" s="1154"/>
      <c r="C124" s="1154"/>
      <c r="D124" s="1154"/>
      <c r="E124" s="1154"/>
      <c r="F124" s="1154"/>
      <c r="G124" s="1154"/>
      <c r="H124" s="1154"/>
      <c r="I124" s="1154"/>
      <c r="J124" s="1154"/>
      <c r="K124" s="1154"/>
      <c r="L124" s="1154"/>
      <c r="M124" s="1154"/>
      <c r="N124" s="1154"/>
      <c r="O124" s="1154"/>
    </row>
    <row r="125" spans="2:15" ht="15" customHeight="1">
      <c r="B125" s="1154"/>
      <c r="C125" s="1154"/>
      <c r="D125" s="1154"/>
      <c r="E125" s="1154"/>
      <c r="F125" s="1154"/>
      <c r="G125" s="1154"/>
      <c r="H125" s="1154"/>
      <c r="I125" s="1154"/>
      <c r="J125" s="1154"/>
      <c r="K125" s="1154"/>
      <c r="L125" s="1154"/>
      <c r="M125" s="1154"/>
      <c r="N125" s="1154"/>
      <c r="O125" s="1154"/>
    </row>
    <row r="126" spans="2:15" ht="15" customHeight="1">
      <c r="B126" s="1154"/>
      <c r="C126" s="1154"/>
      <c r="D126" s="1154"/>
      <c r="E126" s="1154"/>
      <c r="F126" s="1154"/>
      <c r="G126" s="1154"/>
      <c r="H126" s="1154"/>
      <c r="I126" s="1154"/>
      <c r="J126" s="1154"/>
      <c r="K126" s="1154"/>
      <c r="L126" s="1154"/>
      <c r="M126" s="1154"/>
      <c r="N126" s="1154"/>
      <c r="O126" s="1154"/>
    </row>
    <row r="127" spans="2:15" ht="15" customHeight="1">
      <c r="B127" s="1154"/>
      <c r="C127" s="1154"/>
      <c r="D127" s="1154"/>
      <c r="E127" s="1154"/>
      <c r="F127" s="1154"/>
      <c r="G127" s="1154"/>
      <c r="H127" s="1154"/>
      <c r="I127" s="1154"/>
      <c r="J127" s="1154"/>
      <c r="K127" s="1154"/>
      <c r="L127" s="1154"/>
      <c r="M127" s="1154"/>
      <c r="N127" s="1154"/>
      <c r="O127" s="1154"/>
    </row>
    <row r="128" spans="2:15" ht="15" customHeight="1">
      <c r="B128" s="1154"/>
      <c r="C128" s="1154"/>
      <c r="D128" s="1154"/>
      <c r="E128" s="1154"/>
      <c r="F128" s="1154"/>
      <c r="G128" s="1154"/>
      <c r="H128" s="1154"/>
      <c r="I128" s="1154"/>
      <c r="J128" s="1154"/>
      <c r="K128" s="1154"/>
      <c r="L128" s="1154"/>
      <c r="M128" s="1154"/>
      <c r="N128" s="1154"/>
      <c r="O128" s="1154"/>
    </row>
    <row r="129" spans="2:15" ht="15" customHeight="1">
      <c r="B129" s="1154"/>
      <c r="C129" s="1154"/>
      <c r="D129" s="1154"/>
      <c r="E129" s="1154"/>
      <c r="F129" s="1154"/>
      <c r="G129" s="1154"/>
      <c r="H129" s="1154"/>
      <c r="I129" s="1154"/>
      <c r="J129" s="1154"/>
      <c r="K129" s="1154"/>
      <c r="L129" s="1154"/>
      <c r="M129" s="1154"/>
      <c r="N129" s="1154"/>
      <c r="O129" s="1154"/>
    </row>
    <row r="130" spans="2:15" ht="15" customHeight="1">
      <c r="B130" s="1154"/>
      <c r="C130" s="1154"/>
      <c r="D130" s="1154"/>
      <c r="E130" s="1154"/>
      <c r="F130" s="1154"/>
      <c r="G130" s="1154"/>
      <c r="H130" s="1154"/>
      <c r="I130" s="1154"/>
      <c r="J130" s="1154"/>
      <c r="K130" s="1154"/>
      <c r="L130" s="1154"/>
      <c r="M130" s="1154"/>
      <c r="N130" s="1154"/>
      <c r="O130" s="1154"/>
    </row>
    <row r="131" spans="2:15" ht="15" customHeight="1">
      <c r="B131" s="1154"/>
      <c r="C131" s="1154"/>
      <c r="D131" s="1154"/>
      <c r="E131" s="1154"/>
      <c r="F131" s="1154"/>
      <c r="G131" s="1154"/>
      <c r="H131" s="1154"/>
      <c r="I131" s="1154"/>
      <c r="J131" s="1154"/>
      <c r="K131" s="1154"/>
      <c r="L131" s="1154"/>
      <c r="M131" s="1154"/>
      <c r="N131" s="1154"/>
      <c r="O131" s="1154"/>
    </row>
    <row r="132" spans="2:15" ht="15" customHeight="1">
      <c r="B132" s="1154"/>
      <c r="C132" s="1154"/>
      <c r="D132" s="1154"/>
      <c r="E132" s="1154"/>
      <c r="F132" s="1154"/>
      <c r="G132" s="1154"/>
      <c r="H132" s="1154"/>
      <c r="I132" s="1154"/>
      <c r="J132" s="1154"/>
      <c r="K132" s="1154"/>
      <c r="L132" s="1154"/>
      <c r="M132" s="1154"/>
      <c r="N132" s="1154"/>
      <c r="O132" s="1154"/>
    </row>
    <row r="133" spans="2:15" ht="15" customHeight="1">
      <c r="B133" s="1154"/>
      <c r="C133" s="1154"/>
      <c r="D133" s="1154"/>
      <c r="E133" s="1154"/>
      <c r="F133" s="1154"/>
      <c r="G133" s="1154"/>
      <c r="H133" s="1154"/>
      <c r="I133" s="1154"/>
      <c r="J133" s="1154"/>
      <c r="K133" s="1154"/>
      <c r="L133" s="1154"/>
      <c r="M133" s="1154"/>
      <c r="N133" s="1154"/>
      <c r="O133" s="1154"/>
    </row>
    <row r="134" spans="2:15" ht="15" customHeight="1">
      <c r="B134" s="1154"/>
      <c r="C134" s="1154"/>
      <c r="D134" s="1154"/>
      <c r="E134" s="1154"/>
      <c r="F134" s="1154"/>
      <c r="G134" s="1154"/>
      <c r="H134" s="1154"/>
      <c r="I134" s="1154"/>
      <c r="J134" s="1154"/>
      <c r="K134" s="1154"/>
      <c r="L134" s="1154"/>
      <c r="M134" s="1154"/>
      <c r="N134" s="1154"/>
      <c r="O134" s="1154"/>
    </row>
    <row r="135" spans="2:15" ht="15" customHeight="1">
      <c r="B135" s="1154"/>
      <c r="C135" s="1154"/>
      <c r="D135" s="1154"/>
      <c r="E135" s="1154"/>
      <c r="F135" s="1154"/>
      <c r="G135" s="1154"/>
      <c r="H135" s="1154"/>
      <c r="I135" s="1154"/>
      <c r="J135" s="1154"/>
      <c r="K135" s="1154"/>
      <c r="L135" s="1154"/>
      <c r="M135" s="1154"/>
      <c r="N135" s="1154"/>
      <c r="O135" s="1154"/>
    </row>
    <row r="136" spans="2:15" ht="15" customHeight="1">
      <c r="B136" s="1154"/>
      <c r="C136" s="1154"/>
      <c r="D136" s="1154"/>
      <c r="E136" s="1154"/>
      <c r="F136" s="1154"/>
      <c r="G136" s="1154"/>
      <c r="H136" s="1154"/>
      <c r="I136" s="1154"/>
      <c r="J136" s="1154"/>
      <c r="K136" s="1154"/>
      <c r="L136" s="1154"/>
      <c r="M136" s="1154"/>
      <c r="N136" s="1154"/>
      <c r="O136" s="1154"/>
    </row>
    <row r="137" spans="2:15" ht="15" customHeight="1">
      <c r="B137" s="1154"/>
      <c r="C137" s="1154"/>
      <c r="D137" s="1154"/>
      <c r="E137" s="1154"/>
      <c r="F137" s="1154"/>
      <c r="G137" s="1154"/>
      <c r="H137" s="1154"/>
      <c r="I137" s="1154"/>
      <c r="J137" s="1154"/>
      <c r="K137" s="1154"/>
      <c r="L137" s="1154"/>
      <c r="M137" s="1154"/>
      <c r="N137" s="1154"/>
      <c r="O137" s="1154"/>
    </row>
    <row r="138" spans="2:15" ht="15" customHeight="1">
      <c r="B138" s="1154"/>
      <c r="C138" s="1154"/>
      <c r="D138" s="1154"/>
      <c r="E138" s="1154"/>
      <c r="F138" s="1154"/>
      <c r="G138" s="1154"/>
      <c r="H138" s="1154"/>
      <c r="I138" s="1154"/>
      <c r="J138" s="1154"/>
      <c r="K138" s="1154"/>
      <c r="L138" s="1154"/>
      <c r="M138" s="1154"/>
      <c r="N138" s="1154"/>
      <c r="O138" s="1154"/>
    </row>
    <row r="139" spans="2:15" ht="15" customHeight="1">
      <c r="B139" s="1154"/>
      <c r="C139" s="1154"/>
      <c r="D139" s="1154"/>
      <c r="E139" s="1154"/>
      <c r="F139" s="1154"/>
      <c r="G139" s="1154"/>
      <c r="H139" s="1154"/>
      <c r="I139" s="1154"/>
      <c r="J139" s="1154"/>
      <c r="K139" s="1154"/>
      <c r="L139" s="1154"/>
      <c r="M139" s="1154"/>
      <c r="N139" s="1154"/>
      <c r="O139" s="1154"/>
    </row>
    <row r="140" spans="2:15" ht="15" customHeight="1">
      <c r="B140" s="1154"/>
      <c r="C140" s="1154"/>
      <c r="D140" s="1154"/>
      <c r="E140" s="1154"/>
      <c r="F140" s="1154"/>
      <c r="G140" s="1154"/>
      <c r="H140" s="1154"/>
      <c r="I140" s="1154"/>
      <c r="J140" s="1154"/>
      <c r="K140" s="1154"/>
      <c r="L140" s="1154"/>
      <c r="M140" s="1154"/>
      <c r="N140" s="1154"/>
      <c r="O140" s="1154"/>
    </row>
    <row r="141" spans="2:15" ht="15" customHeight="1">
      <c r="B141" s="1154"/>
      <c r="C141" s="1154"/>
      <c r="D141" s="1154"/>
      <c r="E141" s="1154"/>
      <c r="F141" s="1154"/>
      <c r="G141" s="1154"/>
      <c r="H141" s="1154"/>
      <c r="I141" s="1154"/>
      <c r="J141" s="1154"/>
      <c r="K141" s="1154"/>
      <c r="L141" s="1154"/>
      <c r="M141" s="1154"/>
      <c r="N141" s="1154"/>
      <c r="O141" s="1154"/>
    </row>
    <row r="142" spans="2:15" ht="15" customHeight="1">
      <c r="B142" s="1154"/>
      <c r="C142" s="1154"/>
      <c r="D142" s="1154"/>
      <c r="E142" s="1154"/>
      <c r="F142" s="1154"/>
      <c r="G142" s="1154"/>
      <c r="H142" s="1154"/>
      <c r="I142" s="1154"/>
      <c r="J142" s="1154"/>
      <c r="K142" s="1154"/>
      <c r="L142" s="1154"/>
      <c r="M142" s="1154"/>
      <c r="N142" s="1154"/>
      <c r="O142" s="1154"/>
    </row>
    <row r="143" spans="2:15" ht="15" customHeight="1">
      <c r="B143" s="1154"/>
      <c r="C143" s="1154"/>
      <c r="D143" s="1154"/>
      <c r="E143" s="1154"/>
      <c r="F143" s="1154"/>
      <c r="G143" s="1154"/>
      <c r="H143" s="1154"/>
      <c r="I143" s="1154"/>
      <c r="J143" s="1154"/>
      <c r="K143" s="1154"/>
      <c r="L143" s="1154"/>
      <c r="M143" s="1154"/>
      <c r="N143" s="1154"/>
      <c r="O143" s="1154"/>
    </row>
    <row r="144" spans="2:15" ht="15" customHeight="1">
      <c r="B144" s="1154"/>
      <c r="C144" s="1154"/>
      <c r="D144" s="1154"/>
      <c r="E144" s="1154"/>
      <c r="F144" s="1154"/>
      <c r="G144" s="1154"/>
      <c r="H144" s="1154"/>
      <c r="I144" s="1154"/>
      <c r="J144" s="1154"/>
      <c r="K144" s="1154"/>
      <c r="L144" s="1154"/>
      <c r="M144" s="1154"/>
      <c r="N144" s="1154"/>
      <c r="O144" s="1154"/>
    </row>
    <row r="145" spans="2:15" ht="15" customHeight="1">
      <c r="B145" s="1154"/>
      <c r="C145" s="1154"/>
      <c r="D145" s="1154"/>
      <c r="E145" s="1154"/>
      <c r="F145" s="1154"/>
      <c r="G145" s="1154"/>
      <c r="H145" s="1154"/>
      <c r="I145" s="1154"/>
      <c r="J145" s="1154"/>
      <c r="K145" s="1154"/>
      <c r="L145" s="1154"/>
      <c r="M145" s="1154"/>
      <c r="N145" s="1154"/>
      <c r="O145" s="1154"/>
    </row>
    <row r="146" spans="2:15" ht="15" customHeight="1">
      <c r="B146" s="1154"/>
      <c r="C146" s="1154"/>
      <c r="D146" s="1154"/>
      <c r="E146" s="1154"/>
      <c r="F146" s="1154"/>
      <c r="G146" s="1154"/>
      <c r="H146" s="1154"/>
      <c r="I146" s="1154"/>
      <c r="J146" s="1154"/>
      <c r="K146" s="1154"/>
      <c r="L146" s="1154"/>
      <c r="M146" s="1154"/>
      <c r="N146" s="1154"/>
      <c r="O146" s="1154"/>
    </row>
    <row r="147" spans="2:15" ht="15" customHeight="1">
      <c r="B147" s="1154"/>
      <c r="C147" s="1154"/>
      <c r="D147" s="1154"/>
      <c r="E147" s="1154"/>
      <c r="F147" s="1154"/>
      <c r="G147" s="1154"/>
      <c r="H147" s="1154"/>
      <c r="I147" s="1154"/>
      <c r="J147" s="1154"/>
      <c r="K147" s="1154"/>
      <c r="L147" s="1154"/>
      <c r="M147" s="1154"/>
      <c r="N147" s="1154"/>
      <c r="O147" s="1154"/>
    </row>
    <row r="148" spans="2:15" ht="15" customHeight="1">
      <c r="B148" s="1154"/>
      <c r="C148" s="1154"/>
      <c r="D148" s="1154"/>
      <c r="E148" s="1154"/>
      <c r="F148" s="1154"/>
      <c r="G148" s="1154"/>
      <c r="H148" s="1154"/>
      <c r="I148" s="1154"/>
      <c r="J148" s="1154"/>
      <c r="K148" s="1154"/>
      <c r="L148" s="1154"/>
      <c r="M148" s="1154"/>
      <c r="N148" s="1154"/>
      <c r="O148" s="1154"/>
    </row>
    <row r="149" spans="2:15" ht="15" customHeight="1">
      <c r="B149" s="1154"/>
      <c r="C149" s="1154"/>
      <c r="D149" s="1154"/>
      <c r="E149" s="1154"/>
      <c r="F149" s="1154"/>
      <c r="G149" s="1154"/>
      <c r="H149" s="1154"/>
      <c r="I149" s="1154"/>
      <c r="J149" s="1154"/>
      <c r="K149" s="1154"/>
      <c r="L149" s="1154"/>
      <c r="M149" s="1154"/>
      <c r="N149" s="1154"/>
      <c r="O149" s="1154"/>
    </row>
    <row r="150" spans="2:15" ht="15" customHeight="1">
      <c r="B150" s="1154"/>
      <c r="C150" s="1154"/>
      <c r="D150" s="1154"/>
      <c r="E150" s="1154"/>
      <c r="F150" s="1154"/>
      <c r="G150" s="1154"/>
      <c r="H150" s="1154"/>
      <c r="I150" s="1154"/>
      <c r="J150" s="1154"/>
      <c r="K150" s="1154"/>
      <c r="L150" s="1154"/>
      <c r="M150" s="1154"/>
      <c r="N150" s="1154"/>
      <c r="O150" s="1154"/>
    </row>
    <row r="151" spans="2:15" ht="15" customHeight="1">
      <c r="B151" s="1154"/>
      <c r="C151" s="1154"/>
      <c r="D151" s="1154"/>
      <c r="E151" s="1154"/>
      <c r="F151" s="1154"/>
      <c r="G151" s="1154"/>
      <c r="H151" s="1154"/>
      <c r="I151" s="1154"/>
      <c r="J151" s="1154"/>
      <c r="K151" s="1154"/>
      <c r="L151" s="1154"/>
      <c r="M151" s="1154"/>
      <c r="N151" s="1154"/>
      <c r="O151" s="1154"/>
    </row>
    <row r="152" spans="2:15" ht="15" customHeight="1">
      <c r="B152" s="1154"/>
      <c r="C152" s="1154"/>
      <c r="D152" s="1154"/>
      <c r="E152" s="1154"/>
      <c r="F152" s="1154"/>
      <c r="G152" s="1154"/>
      <c r="H152" s="1154"/>
      <c r="I152" s="1154"/>
      <c r="J152" s="1154"/>
      <c r="K152" s="1154"/>
      <c r="L152" s="1154"/>
      <c r="M152" s="1154"/>
      <c r="N152" s="1154"/>
      <c r="O152" s="1154"/>
    </row>
    <row r="153" spans="2:15" ht="15" customHeight="1">
      <c r="B153" s="1154"/>
      <c r="C153" s="1154"/>
      <c r="D153" s="1154"/>
      <c r="E153" s="1154"/>
      <c r="F153" s="1154"/>
      <c r="G153" s="1154"/>
      <c r="H153" s="1154"/>
      <c r="I153" s="1154"/>
      <c r="J153" s="1154"/>
      <c r="K153" s="1154"/>
      <c r="L153" s="1154"/>
      <c r="M153" s="1154"/>
      <c r="N153" s="1154"/>
      <c r="O153" s="1154"/>
    </row>
    <row r="154" spans="2:15" ht="15" customHeight="1">
      <c r="B154" s="1154"/>
      <c r="C154" s="1154"/>
      <c r="D154" s="1154"/>
      <c r="E154" s="1154"/>
      <c r="F154" s="1154"/>
      <c r="G154" s="1154"/>
      <c r="H154" s="1154"/>
      <c r="I154" s="1154"/>
      <c r="J154" s="1154"/>
      <c r="K154" s="1154"/>
      <c r="L154" s="1154"/>
      <c r="M154" s="1154"/>
      <c r="N154" s="1154"/>
      <c r="O154" s="1154"/>
    </row>
    <row r="155" spans="2:15" ht="15" customHeight="1">
      <c r="B155" s="1154"/>
      <c r="C155" s="1154"/>
      <c r="D155" s="1154"/>
      <c r="E155" s="1154"/>
      <c r="F155" s="1154"/>
      <c r="G155" s="1154"/>
      <c r="H155" s="1154"/>
      <c r="I155" s="1154"/>
      <c r="J155" s="1154"/>
      <c r="K155" s="1154"/>
      <c r="L155" s="1154"/>
      <c r="M155" s="1154"/>
      <c r="N155" s="1154"/>
      <c r="O155" s="1154"/>
    </row>
    <row r="156" spans="2:15" ht="15" customHeight="1">
      <c r="B156" s="1154"/>
      <c r="C156" s="1154"/>
      <c r="D156" s="1154"/>
      <c r="E156" s="1154"/>
      <c r="F156" s="1154"/>
      <c r="G156" s="1154"/>
      <c r="H156" s="1154"/>
      <c r="I156" s="1154"/>
      <c r="J156" s="1154"/>
      <c r="K156" s="1154"/>
      <c r="L156" s="1154"/>
      <c r="M156" s="1154"/>
      <c r="N156" s="1154"/>
      <c r="O156" s="1154"/>
    </row>
    <row r="157" spans="2:15" ht="15" customHeight="1">
      <c r="B157" s="1154"/>
      <c r="C157" s="1154"/>
      <c r="D157" s="1154"/>
      <c r="E157" s="1154"/>
      <c r="F157" s="1154"/>
      <c r="G157" s="1154"/>
      <c r="H157" s="1154"/>
      <c r="I157" s="1154"/>
      <c r="J157" s="1154"/>
      <c r="K157" s="1154"/>
      <c r="L157" s="1154"/>
      <c r="M157" s="1154"/>
      <c r="N157" s="1154"/>
      <c r="O157" s="1154"/>
    </row>
    <row r="158" spans="2:15" ht="15" customHeight="1">
      <c r="B158" s="1154"/>
      <c r="C158" s="1154"/>
      <c r="D158" s="1154"/>
      <c r="E158" s="1154"/>
      <c r="F158" s="1154"/>
      <c r="G158" s="1154"/>
      <c r="H158" s="1154"/>
      <c r="I158" s="1154"/>
      <c r="J158" s="1154"/>
      <c r="K158" s="1154"/>
      <c r="L158" s="1154"/>
      <c r="M158" s="1154"/>
      <c r="N158" s="1154"/>
      <c r="O158" s="1154"/>
    </row>
    <row r="159" spans="2:15" ht="15" customHeight="1">
      <c r="B159" s="1154"/>
      <c r="C159" s="1154"/>
      <c r="D159" s="1154"/>
      <c r="E159" s="1154"/>
      <c r="F159" s="1154"/>
      <c r="G159" s="1154"/>
      <c r="H159" s="1154"/>
      <c r="I159" s="1154"/>
      <c r="J159" s="1154"/>
      <c r="K159" s="1154"/>
      <c r="L159" s="1154"/>
      <c r="M159" s="1154"/>
      <c r="N159" s="1154"/>
      <c r="O159" s="1154"/>
    </row>
    <row r="160" spans="2:15" ht="15" customHeight="1">
      <c r="B160" s="1154"/>
      <c r="C160" s="1154"/>
      <c r="D160" s="1154"/>
      <c r="E160" s="1154"/>
      <c r="F160" s="1154"/>
      <c r="G160" s="1154"/>
      <c r="H160" s="1154"/>
      <c r="I160" s="1154"/>
      <c r="J160" s="1154"/>
      <c r="K160" s="1154"/>
      <c r="L160" s="1154"/>
      <c r="M160" s="1154"/>
      <c r="N160" s="1154"/>
      <c r="O160" s="1154"/>
    </row>
    <row r="161" spans="2:15" ht="15" customHeight="1">
      <c r="B161" s="1154"/>
      <c r="C161" s="1154"/>
      <c r="D161" s="1154"/>
      <c r="E161" s="1154"/>
      <c r="F161" s="1154"/>
      <c r="G161" s="1154"/>
      <c r="H161" s="1154"/>
      <c r="I161" s="1154"/>
      <c r="J161" s="1154"/>
      <c r="K161" s="1154"/>
      <c r="L161" s="1154"/>
      <c r="M161" s="1154"/>
      <c r="N161" s="1154"/>
      <c r="O161" s="1154"/>
    </row>
    <row r="162" spans="2:15" ht="15" customHeight="1">
      <c r="B162" s="1154"/>
      <c r="C162" s="1154"/>
      <c r="D162" s="1154"/>
      <c r="E162" s="1154"/>
      <c r="F162" s="1154"/>
      <c r="G162" s="1154"/>
      <c r="H162" s="1154"/>
      <c r="I162" s="1154"/>
      <c r="J162" s="1154"/>
      <c r="K162" s="1154"/>
      <c r="L162" s="1154"/>
      <c r="M162" s="1154"/>
      <c r="N162" s="1154"/>
      <c r="O162" s="1154"/>
    </row>
    <row r="163" spans="2:15" ht="15" customHeight="1">
      <c r="B163" s="1154"/>
      <c r="C163" s="1154"/>
      <c r="D163" s="1154"/>
      <c r="E163" s="1154"/>
      <c r="F163" s="1154"/>
      <c r="G163" s="1154"/>
      <c r="H163" s="1154"/>
      <c r="I163" s="1154"/>
      <c r="J163" s="1154"/>
      <c r="K163" s="1154"/>
      <c r="L163" s="1154"/>
      <c r="M163" s="1154"/>
      <c r="N163" s="1154"/>
      <c r="O163" s="1154"/>
    </row>
    <row r="164" spans="2:15" ht="15" customHeight="1">
      <c r="B164" s="1154"/>
      <c r="C164" s="1154"/>
      <c r="D164" s="1154"/>
      <c r="E164" s="1154"/>
      <c r="F164" s="1154"/>
      <c r="G164" s="1154"/>
      <c r="H164" s="1154"/>
      <c r="I164" s="1154"/>
      <c r="J164" s="1154"/>
      <c r="K164" s="1154"/>
      <c r="L164" s="1154"/>
      <c r="M164" s="1154"/>
      <c r="N164" s="1154"/>
      <c r="O164" s="1154"/>
    </row>
    <row r="165" spans="2:15" ht="15" customHeight="1">
      <c r="B165" s="1154"/>
      <c r="C165" s="1154"/>
      <c r="D165" s="1154"/>
      <c r="E165" s="1154"/>
      <c r="F165" s="1154"/>
      <c r="G165" s="1154"/>
      <c r="H165" s="1154"/>
      <c r="I165" s="1154"/>
      <c r="J165" s="1154"/>
      <c r="K165" s="1154"/>
      <c r="L165" s="1154"/>
      <c r="M165" s="1154"/>
      <c r="N165" s="1154"/>
      <c r="O165" s="1154"/>
    </row>
    <row r="166" spans="2:15" ht="15" customHeight="1">
      <c r="B166" s="1154"/>
      <c r="C166" s="1154"/>
      <c r="D166" s="1154"/>
      <c r="E166" s="1154"/>
      <c r="F166" s="1154"/>
      <c r="G166" s="1154"/>
      <c r="H166" s="1154"/>
      <c r="I166" s="1154"/>
      <c r="J166" s="1154"/>
      <c r="K166" s="1154"/>
      <c r="L166" s="1154"/>
      <c r="M166" s="1154"/>
      <c r="N166" s="1154"/>
      <c r="O166" s="1154"/>
    </row>
    <row r="167" spans="2:15" ht="15" customHeight="1">
      <c r="B167" s="1154"/>
      <c r="C167" s="1154"/>
      <c r="D167" s="1154"/>
      <c r="E167" s="1154"/>
      <c r="F167" s="1154"/>
      <c r="G167" s="1154"/>
      <c r="H167" s="1154"/>
      <c r="I167" s="1154"/>
      <c r="J167" s="1154"/>
      <c r="K167" s="1154"/>
      <c r="L167" s="1154"/>
      <c r="M167" s="1154"/>
      <c r="N167" s="1154"/>
      <c r="O167" s="1154"/>
    </row>
    <row r="168" spans="2:15" ht="15" customHeight="1">
      <c r="B168" s="1154"/>
      <c r="C168" s="1154"/>
      <c r="D168" s="1154"/>
      <c r="E168" s="1154"/>
      <c r="F168" s="1154"/>
      <c r="G168" s="1154"/>
      <c r="H168" s="1154"/>
      <c r="I168" s="1154"/>
      <c r="J168" s="1154"/>
      <c r="K168" s="1154"/>
      <c r="L168" s="1154"/>
      <c r="M168" s="1154"/>
      <c r="N168" s="1154"/>
      <c r="O168" s="1154"/>
    </row>
    <row r="169" spans="2:15" ht="15" customHeight="1">
      <c r="B169" s="1154"/>
      <c r="C169" s="1154"/>
      <c r="D169" s="1154"/>
      <c r="E169" s="1154"/>
      <c r="F169" s="1154"/>
      <c r="G169" s="1154"/>
      <c r="H169" s="1154"/>
      <c r="I169" s="1154"/>
      <c r="J169" s="1154"/>
      <c r="K169" s="1154"/>
      <c r="L169" s="1154"/>
      <c r="M169" s="1154"/>
      <c r="N169" s="1154"/>
      <c r="O169" s="1154"/>
    </row>
    <row r="170" spans="2:15" ht="15" customHeight="1">
      <c r="B170" s="1154"/>
      <c r="C170" s="1154"/>
      <c r="D170" s="1154"/>
      <c r="E170" s="1154"/>
      <c r="F170" s="1154"/>
      <c r="G170" s="1154"/>
      <c r="H170" s="1154"/>
      <c r="I170" s="1154"/>
      <c r="J170" s="1154"/>
      <c r="K170" s="1154"/>
      <c r="L170" s="1154"/>
      <c r="M170" s="1154"/>
      <c r="N170" s="1154"/>
      <c r="O170" s="1154"/>
    </row>
    <row r="171" spans="2:15" ht="15" customHeight="1">
      <c r="B171" s="1154"/>
      <c r="C171" s="1154"/>
      <c r="D171" s="1154"/>
      <c r="E171" s="1154"/>
      <c r="F171" s="1154"/>
      <c r="G171" s="1154"/>
      <c r="H171" s="1154"/>
      <c r="I171" s="1154"/>
      <c r="J171" s="1154"/>
      <c r="K171" s="1154"/>
      <c r="L171" s="1154"/>
      <c r="M171" s="1154"/>
      <c r="N171" s="1154"/>
      <c r="O171" s="1154"/>
    </row>
    <row r="172" spans="2:15" ht="15" customHeight="1">
      <c r="B172" s="1154"/>
      <c r="C172" s="1154"/>
      <c r="D172" s="1154"/>
      <c r="E172" s="1154"/>
      <c r="F172" s="1154"/>
      <c r="G172" s="1154"/>
      <c r="H172" s="1154"/>
      <c r="I172" s="1154"/>
      <c r="J172" s="1154"/>
      <c r="K172" s="1154"/>
      <c r="L172" s="1154"/>
      <c r="M172" s="1154"/>
      <c r="N172" s="1154"/>
      <c r="O172" s="1154"/>
    </row>
    <row r="173" spans="2:15" ht="15" customHeight="1">
      <c r="B173" s="1154"/>
      <c r="C173" s="1154"/>
      <c r="D173" s="1154"/>
      <c r="E173" s="1154"/>
      <c r="F173" s="1154"/>
      <c r="G173" s="1154"/>
      <c r="H173" s="1154"/>
      <c r="I173" s="1154"/>
      <c r="J173" s="1154"/>
      <c r="K173" s="1154"/>
      <c r="L173" s="1154"/>
      <c r="M173" s="1154"/>
      <c r="N173" s="1154"/>
      <c r="O173" s="1154"/>
    </row>
    <row r="174" spans="2:15" ht="15" customHeight="1">
      <c r="B174" s="1154"/>
      <c r="C174" s="1154"/>
      <c r="D174" s="1154"/>
      <c r="E174" s="1154"/>
      <c r="F174" s="1154"/>
      <c r="G174" s="1154"/>
      <c r="H174" s="1154"/>
      <c r="I174" s="1154"/>
      <c r="J174" s="1154"/>
      <c r="K174" s="1154"/>
      <c r="L174" s="1154"/>
      <c r="M174" s="1154"/>
      <c r="N174" s="1154"/>
      <c r="O174" s="1154"/>
    </row>
    <row r="175" spans="2:15" ht="15" customHeight="1">
      <c r="B175" s="1154"/>
      <c r="C175" s="1154"/>
      <c r="D175" s="1154"/>
      <c r="E175" s="1154"/>
      <c r="F175" s="1154"/>
      <c r="G175" s="1154"/>
      <c r="H175" s="1154"/>
      <c r="I175" s="1154"/>
      <c r="J175" s="1154"/>
      <c r="K175" s="1154"/>
      <c r="L175" s="1154"/>
      <c r="M175" s="1154"/>
      <c r="N175" s="1154"/>
      <c r="O175" s="1154"/>
    </row>
    <row r="176" spans="2:15" ht="15" customHeight="1">
      <c r="B176" s="1154"/>
      <c r="C176" s="1154"/>
      <c r="D176" s="1154"/>
      <c r="E176" s="1154"/>
      <c r="F176" s="1154"/>
      <c r="G176" s="1154"/>
      <c r="H176" s="1154"/>
      <c r="I176" s="1154"/>
      <c r="J176" s="1154"/>
      <c r="K176" s="1154"/>
      <c r="L176" s="1154"/>
      <c r="M176" s="1154"/>
      <c r="N176" s="1154"/>
      <c r="O176" s="1154"/>
    </row>
    <row r="177" spans="2:15" ht="15" customHeight="1">
      <c r="B177" s="1154"/>
      <c r="C177" s="1154"/>
      <c r="D177" s="1154"/>
      <c r="E177" s="1154"/>
      <c r="F177" s="1154"/>
      <c r="G177" s="1154"/>
      <c r="H177" s="1154"/>
      <c r="I177" s="1154"/>
      <c r="J177" s="1154"/>
      <c r="K177" s="1154"/>
      <c r="L177" s="1154"/>
      <c r="M177" s="1154"/>
      <c r="N177" s="1154"/>
      <c r="O177" s="1154"/>
    </row>
    <row r="178" spans="2:15" ht="15" customHeight="1">
      <c r="B178" s="1154"/>
      <c r="C178" s="1154"/>
      <c r="D178" s="1154"/>
      <c r="E178" s="1154"/>
      <c r="F178" s="1154"/>
      <c r="G178" s="1154"/>
      <c r="H178" s="1154"/>
      <c r="I178" s="1154"/>
      <c r="J178" s="1154"/>
      <c r="K178" s="1154"/>
      <c r="L178" s="1154"/>
      <c r="M178" s="1154"/>
      <c r="N178" s="1154"/>
      <c r="O178" s="1154"/>
    </row>
    <row r="179" spans="2:15" ht="15" customHeight="1">
      <c r="B179" s="1154"/>
      <c r="C179" s="1154"/>
      <c r="D179" s="1154"/>
      <c r="E179" s="1154"/>
      <c r="F179" s="1154"/>
      <c r="G179" s="1154"/>
      <c r="H179" s="1154"/>
      <c r="I179" s="1154"/>
      <c r="J179" s="1154"/>
      <c r="K179" s="1154"/>
      <c r="L179" s="1154"/>
      <c r="M179" s="1154"/>
      <c r="N179" s="1154"/>
      <c r="O179" s="1154"/>
    </row>
    <row r="180" spans="2:15" ht="15" customHeight="1">
      <c r="B180" s="1154"/>
      <c r="C180" s="1154"/>
      <c r="D180" s="1154"/>
      <c r="E180" s="1154"/>
      <c r="F180" s="1154"/>
      <c r="G180" s="1154"/>
      <c r="H180" s="1154"/>
      <c r="I180" s="1154"/>
      <c r="J180" s="1154"/>
      <c r="K180" s="1154"/>
      <c r="L180" s="1154"/>
      <c r="M180" s="1154"/>
      <c r="N180" s="1154"/>
      <c r="O180" s="1154"/>
    </row>
    <row r="181" spans="2:15" ht="15" customHeight="1">
      <c r="B181" s="1154"/>
      <c r="C181" s="1154"/>
      <c r="D181" s="1154"/>
      <c r="E181" s="1154"/>
      <c r="F181" s="1154"/>
      <c r="G181" s="1154"/>
      <c r="H181" s="1154"/>
      <c r="I181" s="1154"/>
      <c r="J181" s="1154"/>
      <c r="K181" s="1154"/>
      <c r="L181" s="1154"/>
      <c r="M181" s="1154"/>
      <c r="N181" s="1154"/>
      <c r="O181" s="1154"/>
    </row>
    <row r="182" spans="2:15" ht="15" customHeight="1">
      <c r="B182" s="1154"/>
      <c r="C182" s="1154"/>
      <c r="D182" s="1154"/>
      <c r="E182" s="1154"/>
      <c r="F182" s="1154"/>
      <c r="G182" s="1154"/>
      <c r="H182" s="1154"/>
      <c r="I182" s="1154"/>
      <c r="J182" s="1154"/>
      <c r="K182" s="1154"/>
      <c r="L182" s="1154"/>
      <c r="M182" s="1154"/>
      <c r="N182" s="1154"/>
      <c r="O182" s="1154"/>
    </row>
    <row r="183" spans="2:15" ht="15" customHeight="1">
      <c r="B183" s="1154"/>
      <c r="C183" s="1154"/>
      <c r="D183" s="1154"/>
      <c r="E183" s="1154"/>
      <c r="F183" s="1154"/>
      <c r="G183" s="1154"/>
      <c r="H183" s="1154"/>
      <c r="I183" s="1154"/>
      <c r="J183" s="1154"/>
      <c r="K183" s="1154"/>
      <c r="L183" s="1154"/>
      <c r="M183" s="1154"/>
      <c r="N183" s="1154"/>
      <c r="O183" s="1154"/>
    </row>
    <row r="184" spans="2:15" ht="15" customHeight="1">
      <c r="B184" s="1154"/>
      <c r="C184" s="1154"/>
      <c r="D184" s="1154"/>
      <c r="E184" s="1154"/>
      <c r="F184" s="1154"/>
      <c r="G184" s="1154"/>
      <c r="H184" s="1154"/>
      <c r="I184" s="1154"/>
      <c r="J184" s="1154"/>
      <c r="K184" s="1154"/>
      <c r="L184" s="1154"/>
      <c r="M184" s="1154"/>
      <c r="N184" s="1154"/>
      <c r="O184" s="1154"/>
    </row>
    <row r="185" spans="2:15" ht="15" customHeight="1">
      <c r="B185" s="1154"/>
      <c r="C185" s="1154"/>
      <c r="D185" s="1154"/>
      <c r="E185" s="1154"/>
      <c r="F185" s="1154"/>
      <c r="G185" s="1154"/>
      <c r="H185" s="1154"/>
      <c r="I185" s="1154"/>
      <c r="J185" s="1154"/>
      <c r="K185" s="1154"/>
      <c r="L185" s="1154"/>
      <c r="M185" s="1154"/>
      <c r="N185" s="1154"/>
      <c r="O185" s="1154"/>
    </row>
    <row r="186" spans="2:15" ht="15" customHeight="1">
      <c r="B186" s="1154"/>
      <c r="C186" s="1154"/>
      <c r="D186" s="1154"/>
      <c r="E186" s="1154"/>
      <c r="F186" s="1154"/>
      <c r="G186" s="1154"/>
      <c r="H186" s="1154"/>
      <c r="I186" s="1154"/>
      <c r="J186" s="1154"/>
      <c r="K186" s="1154"/>
      <c r="L186" s="1154"/>
      <c r="M186" s="1154"/>
      <c r="N186" s="1154"/>
      <c r="O186" s="1154"/>
    </row>
    <row r="187" spans="2:15" ht="15" customHeight="1">
      <c r="B187" s="1154"/>
      <c r="C187" s="1154"/>
      <c r="D187" s="1154"/>
      <c r="E187" s="1154"/>
      <c r="F187" s="1154"/>
      <c r="G187" s="1154"/>
      <c r="H187" s="1154"/>
      <c r="I187" s="1154"/>
      <c r="J187" s="1154"/>
      <c r="K187" s="1154"/>
      <c r="L187" s="1154"/>
      <c r="M187" s="1154"/>
      <c r="N187" s="1154"/>
      <c r="O187" s="1154"/>
    </row>
    <row r="188" spans="2:15" ht="15" customHeight="1">
      <c r="B188" s="1154"/>
      <c r="C188" s="1154"/>
      <c r="D188" s="1154"/>
      <c r="E188" s="1154"/>
      <c r="F188" s="1154"/>
      <c r="G188" s="1154"/>
      <c r="H188" s="1154"/>
      <c r="I188" s="1154"/>
      <c r="J188" s="1154"/>
      <c r="K188" s="1154"/>
      <c r="L188" s="1154"/>
      <c r="M188" s="1154"/>
      <c r="N188" s="1154"/>
      <c r="O188" s="1154"/>
    </row>
    <row r="189" spans="2:15" ht="15" customHeight="1">
      <c r="B189" s="1154"/>
      <c r="C189" s="1154"/>
      <c r="D189" s="1154"/>
      <c r="E189" s="1154"/>
      <c r="F189" s="1154"/>
      <c r="G189" s="1154"/>
      <c r="H189" s="1154"/>
      <c r="I189" s="1154"/>
      <c r="J189" s="1154"/>
      <c r="K189" s="1154"/>
      <c r="L189" s="1154"/>
      <c r="M189" s="1154"/>
      <c r="N189" s="1154"/>
      <c r="O189" s="1154"/>
    </row>
    <row r="190" spans="2:15" ht="15" customHeight="1">
      <c r="B190" s="1154"/>
      <c r="C190" s="1154"/>
      <c r="D190" s="1154"/>
      <c r="E190" s="1154"/>
      <c r="F190" s="1154"/>
      <c r="G190" s="1154"/>
      <c r="H190" s="1154"/>
      <c r="I190" s="1154"/>
      <c r="J190" s="1154"/>
      <c r="K190" s="1154"/>
      <c r="L190" s="1154"/>
      <c r="M190" s="1154"/>
      <c r="N190" s="1154"/>
      <c r="O190" s="1154"/>
    </row>
    <row r="191" spans="2:15" ht="15" customHeight="1">
      <c r="B191" s="1154"/>
      <c r="C191" s="1154"/>
      <c r="D191" s="1154"/>
      <c r="E191" s="1154"/>
      <c r="F191" s="1154"/>
      <c r="G191" s="1154"/>
      <c r="H191" s="1154"/>
      <c r="I191" s="1154"/>
      <c r="J191" s="1154"/>
      <c r="K191" s="1154"/>
      <c r="L191" s="1154"/>
      <c r="M191" s="1154"/>
      <c r="N191" s="1154"/>
      <c r="O191" s="1154"/>
    </row>
    <row r="192" spans="2:15" ht="15" customHeight="1">
      <c r="B192" s="1154"/>
      <c r="C192" s="1154"/>
      <c r="D192" s="1154"/>
      <c r="E192" s="1154"/>
      <c r="F192" s="1154"/>
      <c r="G192" s="1154"/>
      <c r="H192" s="1154"/>
      <c r="I192" s="1154"/>
      <c r="J192" s="1154"/>
      <c r="K192" s="1154"/>
      <c r="L192" s="1154"/>
      <c r="M192" s="1154"/>
      <c r="N192" s="1154"/>
      <c r="O192" s="1154"/>
    </row>
    <row r="193" spans="2:15" ht="15" customHeight="1">
      <c r="B193" s="1154"/>
      <c r="C193" s="1154"/>
      <c r="D193" s="1154"/>
      <c r="E193" s="1154"/>
      <c r="F193" s="1154"/>
      <c r="G193" s="1154"/>
      <c r="H193" s="1154"/>
      <c r="I193" s="1154"/>
      <c r="J193" s="1154"/>
      <c r="K193" s="1154"/>
      <c r="L193" s="1154"/>
      <c r="M193" s="1154"/>
      <c r="N193" s="1154"/>
      <c r="O193" s="1154"/>
    </row>
    <row r="194" spans="2:15" ht="15" customHeight="1">
      <c r="B194" s="1154"/>
      <c r="C194" s="1154"/>
      <c r="D194" s="1154"/>
      <c r="E194" s="1154"/>
      <c r="F194" s="1154"/>
      <c r="G194" s="1154"/>
      <c r="H194" s="1154"/>
      <c r="I194" s="1154"/>
      <c r="J194" s="1154"/>
      <c r="K194" s="1154"/>
      <c r="L194" s="1154"/>
      <c r="M194" s="1154"/>
      <c r="N194" s="1154"/>
      <c r="O194" s="1154"/>
    </row>
    <row r="195" spans="2:15" ht="15" customHeight="1">
      <c r="B195" s="1154"/>
      <c r="C195" s="1154"/>
      <c r="D195" s="1154"/>
      <c r="E195" s="1154"/>
      <c r="F195" s="1154"/>
      <c r="G195" s="1154"/>
      <c r="H195" s="1154"/>
      <c r="I195" s="1154"/>
      <c r="J195" s="1154"/>
      <c r="K195" s="1154"/>
      <c r="L195" s="1154"/>
      <c r="M195" s="1154"/>
      <c r="N195" s="1154"/>
      <c r="O195" s="1154"/>
    </row>
  </sheetData>
  <phoneticPr fontId="0" type="noConversion"/>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rgb="FFFFFF00"/>
  </sheetPr>
  <dimension ref="A1:K157"/>
  <sheetViews>
    <sheetView zoomScale="90" zoomScaleNormal="90" workbookViewId="0"/>
  </sheetViews>
  <sheetFormatPr baseColWidth="10" defaultColWidth="16.85546875" defaultRowHeight="15" customHeight="1"/>
  <cols>
    <col min="1" max="1" width="3.7109375" style="1826" customWidth="1"/>
    <col min="2" max="2" width="16.85546875" style="1826" customWidth="1"/>
    <col min="3" max="3" width="22.5703125" style="1826" customWidth="1"/>
    <col min="4" max="4" width="13.42578125" style="1826" customWidth="1"/>
    <col min="5" max="6" width="22.85546875" style="1826" customWidth="1"/>
    <col min="7" max="7" width="19.85546875" style="1826" customWidth="1"/>
    <col min="8" max="8" width="16.85546875" style="1826" customWidth="1"/>
    <col min="9" max="9" width="13.28515625" style="1826" customWidth="1"/>
    <col min="10" max="10" width="13.85546875" style="1826" customWidth="1"/>
    <col min="11" max="16384" width="16.85546875" style="1826"/>
  </cols>
  <sheetData>
    <row r="1" spans="1:11" ht="17.25" customHeight="1">
      <c r="A1" s="1825"/>
    </row>
    <row r="5" spans="1:11" ht="21">
      <c r="B5" s="1158" t="s">
        <v>704</v>
      </c>
      <c r="C5" s="1117"/>
      <c r="D5" s="1117"/>
      <c r="E5" s="1117"/>
      <c r="F5" s="1117"/>
      <c r="G5" s="1117"/>
      <c r="H5" s="1117"/>
      <c r="I5" s="1117"/>
      <c r="J5" s="1117"/>
      <c r="K5" s="1117"/>
    </row>
    <row r="6" spans="1:11" ht="15" customHeight="1">
      <c r="B6" s="1233" t="s">
        <v>756</v>
      </c>
      <c r="C6" s="1117"/>
      <c r="D6" s="1117"/>
      <c r="E6" s="1117"/>
      <c r="F6" s="1117"/>
      <c r="G6" s="1117"/>
      <c r="H6" s="1117"/>
      <c r="I6" s="1117"/>
      <c r="J6" s="1117"/>
      <c r="K6" s="1117"/>
    </row>
    <row r="7" spans="1:11" ht="15" customHeight="1">
      <c r="B7" s="1190" t="s">
        <v>30</v>
      </c>
      <c r="C7" s="1117"/>
      <c r="D7" s="1117"/>
      <c r="E7" s="1117"/>
      <c r="F7" s="1117"/>
      <c r="G7" s="1117"/>
      <c r="H7" s="1117"/>
      <c r="I7" s="1827"/>
      <c r="J7" s="1117"/>
      <c r="K7" s="1117"/>
    </row>
    <row r="8" spans="1:11" ht="15" customHeight="1">
      <c r="B8" s="1117"/>
      <c r="C8" s="1117"/>
      <c r="D8" s="1117"/>
      <c r="E8" s="1117"/>
      <c r="F8" s="1117"/>
      <c r="G8" s="1117"/>
      <c r="H8" s="1117"/>
      <c r="I8" s="1827"/>
      <c r="J8" s="1117"/>
      <c r="K8" s="1117"/>
    </row>
    <row r="9" spans="1:11" ht="15" customHeight="1">
      <c r="B9" s="1117"/>
      <c r="C9" s="1117"/>
      <c r="D9" s="1117"/>
      <c r="E9" s="1117"/>
      <c r="F9" s="1117"/>
      <c r="G9" s="1117"/>
      <c r="H9" s="1117"/>
      <c r="I9" s="1827"/>
      <c r="J9" s="1117"/>
      <c r="K9" s="1117"/>
    </row>
    <row r="10" spans="1:11" ht="15" customHeight="1">
      <c r="B10" s="1828" t="s">
        <v>699</v>
      </c>
      <c r="C10" s="1200"/>
      <c r="D10" s="1200"/>
      <c r="E10" s="1200"/>
      <c r="F10" s="1200"/>
      <c r="G10" s="1200"/>
      <c r="H10" s="1200"/>
      <c r="I10" s="1200"/>
      <c r="J10" s="1200"/>
      <c r="K10" s="1202"/>
    </row>
    <row r="11" spans="1:11" ht="15" customHeight="1">
      <c r="B11" s="1279" t="s">
        <v>705</v>
      </c>
      <c r="C11" s="1119"/>
      <c r="D11" s="1119"/>
      <c r="E11" s="1119"/>
      <c r="F11" s="1119"/>
      <c r="G11" s="1119"/>
      <c r="H11" s="1119"/>
      <c r="I11" s="1119"/>
      <c r="J11" s="1119"/>
      <c r="K11" s="1202"/>
    </row>
    <row r="12" spans="1:11" ht="15" customHeight="1">
      <c r="B12" s="1279" t="s">
        <v>727</v>
      </c>
      <c r="C12" s="1119"/>
      <c r="D12" s="1119"/>
      <c r="E12" s="1119"/>
      <c r="F12" s="1119"/>
      <c r="G12" s="1119"/>
      <c r="H12" s="1119"/>
      <c r="I12" s="1119"/>
      <c r="J12" s="1119"/>
      <c r="K12" s="1202"/>
    </row>
    <row r="13" spans="1:11" ht="15" customHeight="1">
      <c r="B13" s="1829" t="s">
        <v>617</v>
      </c>
      <c r="C13" s="1119"/>
      <c r="D13" s="1119"/>
      <c r="E13" s="1119"/>
      <c r="F13" s="1119"/>
      <c r="G13" s="1119"/>
      <c r="H13" s="1119"/>
      <c r="I13" s="1119"/>
      <c r="J13" s="1119"/>
      <c r="K13" s="1202"/>
    </row>
    <row r="14" spans="1:11" ht="15" customHeight="1">
      <c r="B14" s="1829" t="s">
        <v>228</v>
      </c>
      <c r="C14" s="1119"/>
      <c r="D14" s="1225" t="s">
        <v>229</v>
      </c>
      <c r="E14" s="1119"/>
      <c r="F14" s="1119"/>
      <c r="G14" s="1119"/>
      <c r="H14" s="1119"/>
      <c r="I14" s="1119"/>
      <c r="J14" s="1119"/>
      <c r="K14" s="1202"/>
    </row>
    <row r="15" spans="1:11" ht="15" customHeight="1">
      <c r="B15" s="1829" t="s">
        <v>618</v>
      </c>
      <c r="C15" s="1119"/>
      <c r="D15" s="1119"/>
      <c r="E15" s="1119"/>
      <c r="F15" s="1119"/>
      <c r="G15" s="1119"/>
      <c r="H15" s="1119"/>
      <c r="I15" s="1119"/>
      <c r="J15" s="1119"/>
      <c r="K15" s="1202"/>
    </row>
    <row r="16" spans="1:11" ht="15" customHeight="1">
      <c r="B16" s="1829" t="s">
        <v>227</v>
      </c>
      <c r="C16" s="1119"/>
      <c r="D16" s="1225" t="s">
        <v>230</v>
      </c>
      <c r="E16" s="1119"/>
      <c r="F16" s="1119"/>
      <c r="G16" s="1119"/>
      <c r="H16" s="1119"/>
      <c r="I16" s="1119"/>
      <c r="J16" s="1119"/>
      <c r="K16" s="1202"/>
    </row>
    <row r="17" spans="2:11" ht="15" customHeight="1">
      <c r="B17" s="1293" t="s">
        <v>232</v>
      </c>
      <c r="C17" s="1204"/>
      <c r="D17" s="1204"/>
      <c r="E17" s="1204"/>
      <c r="F17" s="1204"/>
      <c r="G17" s="1204"/>
      <c r="H17" s="1204"/>
      <c r="I17" s="1204"/>
      <c r="J17" s="1204"/>
      <c r="K17" s="1202"/>
    </row>
    <row r="18" spans="2:11" ht="15" customHeight="1">
      <c r="B18" s="1225"/>
      <c r="C18" s="1119"/>
      <c r="D18" s="1119"/>
      <c r="E18" s="1119"/>
      <c r="F18" s="1119"/>
      <c r="G18" s="1119"/>
      <c r="H18" s="1119"/>
      <c r="I18" s="1119"/>
      <c r="J18" s="1119"/>
      <c r="K18" s="1117"/>
    </row>
    <row r="19" spans="2:11" ht="15" customHeight="1">
      <c r="B19" s="1158" t="s">
        <v>615</v>
      </c>
      <c r="C19" s="1117"/>
      <c r="D19" s="1117"/>
      <c r="E19" s="1117"/>
      <c r="F19" s="1117"/>
      <c r="G19" s="1117"/>
      <c r="H19" s="1117"/>
      <c r="I19" s="1117"/>
      <c r="J19" s="1117"/>
      <c r="K19" s="1117"/>
    </row>
    <row r="20" spans="2:11" ht="15" customHeight="1">
      <c r="B20" s="112"/>
      <c r="C20" s="113"/>
      <c r="D20" s="113"/>
      <c r="E20" s="168"/>
      <c r="F20" s="168" t="s">
        <v>724</v>
      </c>
      <c r="G20" s="113"/>
      <c r="H20" s="113"/>
      <c r="I20" s="113"/>
      <c r="J20" s="114"/>
      <c r="K20" s="1117"/>
    </row>
    <row r="21" spans="2:11" ht="15" customHeight="1">
      <c r="B21" s="797" t="s">
        <v>607</v>
      </c>
      <c r="C21" s="115" t="s">
        <v>614</v>
      </c>
      <c r="D21" s="115" t="s">
        <v>495</v>
      </c>
      <c r="E21" s="115"/>
      <c r="F21" s="115" t="s">
        <v>725</v>
      </c>
      <c r="G21" s="88"/>
      <c r="H21" s="119"/>
      <c r="I21" s="751"/>
      <c r="J21" s="43"/>
      <c r="K21" s="1117"/>
    </row>
    <row r="22" spans="2:11" ht="15" customHeight="1">
      <c r="B22" s="1304">
        <v>42537</v>
      </c>
      <c r="C22" s="1581" t="s">
        <v>723</v>
      </c>
      <c r="D22" s="1578">
        <v>3</v>
      </c>
      <c r="E22" s="170"/>
      <c r="F22" s="1831" t="e">
        <f ca="1">_xll.BADDPERIODS(B22,C22,"numberofperiods="&amp;D22)</f>
        <v>#NAME?</v>
      </c>
      <c r="G22" s="88" t="s">
        <v>207</v>
      </c>
      <c r="H22" s="25"/>
      <c r="I22" s="25"/>
      <c r="J22" s="43"/>
      <c r="K22" s="1117"/>
    </row>
    <row r="23" spans="2:11" ht="15" customHeight="1">
      <c r="B23" s="148" t="s">
        <v>606</v>
      </c>
      <c r="C23" s="35"/>
      <c r="D23" s="35"/>
      <c r="E23" s="35"/>
      <c r="F23" s="149" t="s">
        <v>605</v>
      </c>
      <c r="G23" s="35"/>
      <c r="H23" s="35"/>
      <c r="I23" s="35"/>
      <c r="J23" s="44"/>
      <c r="K23" s="1117"/>
    </row>
    <row r="24" spans="2:11" s="1830" customFormat="1" ht="15" customHeight="1">
      <c r="B24" s="1832"/>
      <c r="C24" s="1833"/>
      <c r="D24" s="1833"/>
      <c r="E24" s="1833"/>
      <c r="F24" s="1832"/>
      <c r="G24" s="1833"/>
      <c r="H24" s="1833"/>
      <c r="I24" s="1833"/>
      <c r="J24" s="1833"/>
      <c r="K24" s="1119"/>
    </row>
    <row r="25" spans="2:11" ht="15" customHeight="1">
      <c r="B25" s="82"/>
      <c r="C25" s="25"/>
      <c r="D25" s="115"/>
      <c r="E25" s="115"/>
      <c r="F25" s="115" t="s">
        <v>724</v>
      </c>
      <c r="G25" s="25"/>
      <c r="H25" s="25"/>
      <c r="I25" s="25"/>
      <c r="J25" s="43"/>
      <c r="K25" s="1117"/>
    </row>
    <row r="26" spans="2:11" ht="15" customHeight="1">
      <c r="B26" s="797" t="s">
        <v>607</v>
      </c>
      <c r="C26" s="115" t="s">
        <v>614</v>
      </c>
      <c r="D26" s="115" t="s">
        <v>495</v>
      </c>
      <c r="E26" s="115"/>
      <c r="F26" s="115" t="s">
        <v>726</v>
      </c>
      <c r="G26" s="88"/>
      <c r="H26" s="124"/>
      <c r="I26" s="750"/>
      <c r="J26" s="43"/>
      <c r="K26" s="1117"/>
    </row>
    <row r="27" spans="2:11" ht="15" customHeight="1">
      <c r="B27" s="1304">
        <v>42537</v>
      </c>
      <c r="C27" s="1581" t="s">
        <v>709</v>
      </c>
      <c r="D27" s="1578">
        <v>-181</v>
      </c>
      <c r="E27" s="170"/>
      <c r="F27" s="1831" t="e">
        <f ca="1">_xll.BADDPERIODS(B27,C27,"numberofperiods="&amp;D27)</f>
        <v>#NAME?</v>
      </c>
      <c r="G27" s="88" t="s">
        <v>206</v>
      </c>
      <c r="H27" s="25"/>
      <c r="I27" s="25"/>
      <c r="J27" s="43"/>
      <c r="K27" s="1117"/>
    </row>
    <row r="28" spans="2:11" ht="15" customHeight="1">
      <c r="B28" s="148" t="s">
        <v>605</v>
      </c>
      <c r="C28" s="35"/>
      <c r="D28" s="35"/>
      <c r="E28" s="35"/>
      <c r="F28" s="149" t="s">
        <v>605</v>
      </c>
      <c r="G28" s="35"/>
      <c r="H28" s="35"/>
      <c r="I28" s="35"/>
      <c r="J28" s="44"/>
      <c r="K28" s="1117"/>
    </row>
    <row r="29" spans="2:11" s="1830" customFormat="1" ht="15" customHeight="1">
      <c r="B29" s="1196"/>
      <c r="C29" s="1196"/>
      <c r="D29" s="1196"/>
      <c r="E29" s="1196"/>
      <c r="F29" s="1196"/>
      <c r="G29" s="1196"/>
      <c r="H29" s="1196"/>
      <c r="I29" s="1196"/>
      <c r="J29" s="1196"/>
      <c r="K29" s="1119"/>
    </row>
    <row r="30" spans="2:11" s="1830" customFormat="1" ht="15" customHeight="1">
      <c r="B30" s="301" t="s">
        <v>979</v>
      </c>
      <c r="C30" s="198"/>
      <c r="D30" s="113"/>
      <c r="E30" s="113"/>
      <c r="F30" s="113"/>
      <c r="G30" s="113"/>
      <c r="H30" s="113"/>
      <c r="I30" s="113"/>
      <c r="J30" s="114"/>
      <c r="K30" s="1119"/>
    </row>
    <row r="31" spans="2:11" s="1830" customFormat="1" ht="15" customHeight="1">
      <c r="B31" s="337"/>
      <c r="C31" s="318"/>
      <c r="D31" s="318"/>
      <c r="E31" s="718" t="s">
        <v>1850</v>
      </c>
      <c r="F31" s="25"/>
      <c r="G31" s="1877"/>
      <c r="H31" s="1581" t="s">
        <v>633</v>
      </c>
      <c r="I31" s="1587" t="s">
        <v>1849</v>
      </c>
      <c r="J31" s="43"/>
      <c r="K31" s="1119"/>
    </row>
    <row r="32" spans="2:11" s="1830" customFormat="1" ht="15" customHeight="1">
      <c r="B32" s="338" t="s">
        <v>976</v>
      </c>
      <c r="C32" s="115"/>
      <c r="D32" s="115" t="s">
        <v>977</v>
      </c>
      <c r="E32" s="115" t="s">
        <v>978</v>
      </c>
      <c r="F32" s="119"/>
      <c r="G32" s="119"/>
      <c r="H32" s="1843"/>
      <c r="I32" s="1844"/>
      <c r="J32" s="43"/>
      <c r="K32" s="1119"/>
    </row>
    <row r="33" spans="2:11" s="1830" customFormat="1" ht="15" customHeight="1">
      <c r="B33" s="1304">
        <v>43094</v>
      </c>
      <c r="C33" s="25"/>
      <c r="D33" s="1305">
        <v>-7</v>
      </c>
      <c r="E33" s="1840" t="e">
        <f ca="1">_xll.BADDPERIODS(B33,"numberofperiods="&amp;$D$33,"CDR="&amp;$H$31)</f>
        <v>#NAME?</v>
      </c>
      <c r="F33" s="2189" t="e">
        <f ca="1">WEEKDAY(E33)</f>
        <v>#NAME?</v>
      </c>
      <c r="G33" s="2190" t="s">
        <v>1851</v>
      </c>
      <c r="H33" s="1842"/>
      <c r="I33" s="1842"/>
      <c r="J33" s="43"/>
      <c r="K33" s="1119"/>
    </row>
    <row r="34" spans="2:11" s="1830" customFormat="1" ht="15" customHeight="1">
      <c r="B34" s="1304">
        <v>41962</v>
      </c>
      <c r="C34" s="25"/>
      <c r="D34" s="1305">
        <v>943</v>
      </c>
      <c r="E34" s="215" t="e">
        <f ca="1">_xll.BADDPERIODS(B34,"numberofperiods="&amp;$D$34,"CDR="&amp;$H$31)</f>
        <v>#NAME?</v>
      </c>
      <c r="F34" s="694" t="e">
        <f ca="1">WEEKDAY(E34)</f>
        <v>#NAME?</v>
      </c>
      <c r="G34" s="2190" t="s">
        <v>1852</v>
      </c>
      <c r="H34" s="1842"/>
      <c r="I34" s="1842"/>
      <c r="J34" s="43"/>
      <c r="K34" s="1119"/>
    </row>
    <row r="35" spans="2:11" s="1830" customFormat="1" ht="15" customHeight="1">
      <c r="B35" s="1304">
        <v>42697</v>
      </c>
      <c r="C35" s="25"/>
      <c r="D35" s="1305">
        <v>242</v>
      </c>
      <c r="E35" s="2307" t="e">
        <f ca="1">_xll.BADDPERIODS(B35,"numberofperiods="&amp;$D$35,"CDR="&amp;$H$31)</f>
        <v>#NAME?</v>
      </c>
      <c r="F35" s="694" t="e">
        <f ca="1">WEEKDAY(E35)</f>
        <v>#NAME?</v>
      </c>
      <c r="G35" s="1841"/>
      <c r="H35" s="1842"/>
      <c r="I35" s="1842"/>
      <c r="J35" s="43"/>
      <c r="K35" s="1119"/>
    </row>
    <row r="36" spans="2:11" s="1830" customFormat="1" ht="15" customHeight="1">
      <c r="B36" s="789"/>
      <c r="C36" s="35"/>
      <c r="D36" s="35"/>
      <c r="E36" s="35"/>
      <c r="F36" s="35"/>
      <c r="G36" s="303"/>
      <c r="H36" s="303"/>
      <c r="I36" s="303"/>
      <c r="J36" s="44"/>
      <c r="K36" s="1119"/>
    </row>
    <row r="37" spans="2:11" s="1830" customFormat="1" ht="15" customHeight="1">
      <c r="B37" s="25"/>
      <c r="C37" s="25"/>
      <c r="D37" s="25"/>
      <c r="E37" s="25"/>
      <c r="F37" s="25"/>
      <c r="G37" s="1587"/>
      <c r="H37" s="1587"/>
      <c r="I37" s="1587"/>
      <c r="J37" s="25"/>
      <c r="K37" s="1119"/>
    </row>
    <row r="38" spans="2:11" s="1830" customFormat="1" ht="15" customHeight="1">
      <c r="B38" s="301" t="s">
        <v>392</v>
      </c>
      <c r="C38" s="113"/>
      <c r="D38" s="113"/>
      <c r="E38" s="113"/>
      <c r="F38" s="113"/>
      <c r="G38" s="1586"/>
      <c r="H38" s="1586"/>
      <c r="I38" s="1586"/>
      <c r="J38" s="114"/>
      <c r="K38" s="1119"/>
    </row>
    <row r="39" spans="2:11" s="1830" customFormat="1" ht="15" customHeight="1">
      <c r="B39" s="740"/>
      <c r="C39" s="25"/>
      <c r="D39" s="25"/>
      <c r="E39" s="25"/>
      <c r="F39" s="25"/>
      <c r="G39" s="1587"/>
      <c r="H39" s="1587"/>
      <c r="I39" s="1587"/>
      <c r="J39" s="43"/>
      <c r="K39" s="1119"/>
    </row>
    <row r="40" spans="2:11" s="1830" customFormat="1" ht="15" customHeight="1">
      <c r="B40" s="45" t="s">
        <v>390</v>
      </c>
      <c r="C40" s="119"/>
      <c r="D40" s="453" t="s">
        <v>2</v>
      </c>
      <c r="E40" s="25"/>
      <c r="F40" s="25"/>
      <c r="G40" s="1587"/>
      <c r="H40" s="1587"/>
      <c r="I40" s="1587"/>
      <c r="J40" s="43"/>
      <c r="K40" s="1119"/>
    </row>
    <row r="41" spans="2:11" s="1830" customFormat="1" ht="15" customHeight="1">
      <c r="B41" s="1304" t="s">
        <v>391</v>
      </c>
      <c r="C41" s="169"/>
      <c r="D41" s="312" t="s">
        <v>3</v>
      </c>
      <c r="E41" s="25"/>
      <c r="F41" s="25"/>
      <c r="G41" s="1587"/>
      <c r="H41" s="1587"/>
      <c r="I41" s="1587"/>
      <c r="J41" s="43"/>
      <c r="K41" s="1119"/>
    </row>
    <row r="42" spans="2:11" s="1830" customFormat="1" ht="15" customHeight="1">
      <c r="B42" s="82"/>
      <c r="C42" s="25"/>
      <c r="D42" s="25"/>
      <c r="E42" s="318" t="s">
        <v>1</v>
      </c>
      <c r="F42" s="25"/>
      <c r="G42" s="1587"/>
      <c r="H42" s="1587"/>
      <c r="I42" s="1587"/>
      <c r="J42" s="43"/>
      <c r="K42" s="1119"/>
    </row>
    <row r="43" spans="2:11" s="1830" customFormat="1" ht="15" customHeight="1">
      <c r="B43" s="797" t="s">
        <v>389</v>
      </c>
      <c r="C43" s="302"/>
      <c r="D43" s="1585" t="s">
        <v>393</v>
      </c>
      <c r="E43" s="115" t="s">
        <v>978</v>
      </c>
      <c r="F43" s="759" t="s">
        <v>1342</v>
      </c>
      <c r="G43" s="119"/>
      <c r="H43" s="1587"/>
      <c r="I43" s="1587"/>
      <c r="J43" s="43"/>
      <c r="K43" s="1119"/>
    </row>
    <row r="44" spans="2:11" s="1830" customFormat="1" ht="15" customHeight="1">
      <c r="B44" s="1304">
        <v>42459</v>
      </c>
      <c r="C44" s="1040"/>
      <c r="D44" s="1838">
        <v>4</v>
      </c>
      <c r="E44" s="710" t="e">
        <f ca="1">_xll.BADDPERIODS(B44,"Per=y","numberofperiods="&amp;D$44,B41,"BusDayAdj=-2","EOM=1")</f>
        <v>#NAME?</v>
      </c>
      <c r="F44" s="91" t="e">
        <f ca="1">WEEKDAY(E44)</f>
        <v>#NAME?</v>
      </c>
      <c r="G44" s="119"/>
      <c r="H44" s="1587"/>
      <c r="I44" s="1587"/>
      <c r="J44" s="43"/>
      <c r="K44" s="1119"/>
    </row>
    <row r="45" spans="2:11" s="1830" customFormat="1" ht="15" customHeight="1">
      <c r="B45" s="789"/>
      <c r="C45" s="35"/>
      <c r="D45" s="35"/>
      <c r="E45" s="35"/>
      <c r="F45" s="35"/>
      <c r="G45" s="303"/>
      <c r="H45" s="303"/>
      <c r="I45" s="303"/>
      <c r="J45" s="44"/>
      <c r="K45" s="1119"/>
    </row>
    <row r="46" spans="2:11" s="1830" customFormat="1" ht="15" customHeight="1">
      <c r="B46" s="1118"/>
      <c r="C46" s="1118"/>
      <c r="D46" s="1118"/>
      <c r="E46" s="1118"/>
      <c r="F46" s="1118"/>
      <c r="G46" s="1118"/>
      <c r="H46" s="1118"/>
      <c r="I46" s="1118"/>
      <c r="J46" s="1118"/>
      <c r="K46" s="1119"/>
    </row>
    <row r="47" spans="2:11" ht="15" customHeight="1">
      <c r="B47" s="701"/>
      <c r="C47" s="151"/>
      <c r="D47" s="334"/>
      <c r="E47" s="334"/>
      <c r="F47" s="335" t="s">
        <v>988</v>
      </c>
      <c r="G47" s="1848"/>
      <c r="H47" s="334"/>
      <c r="I47" s="152"/>
      <c r="J47" s="153"/>
      <c r="K47" s="1117" t="s">
        <v>1910</v>
      </c>
    </row>
    <row r="48" spans="2:11" ht="15" customHeight="1">
      <c r="B48" s="150"/>
      <c r="C48" s="332"/>
      <c r="D48" s="124"/>
      <c r="E48" s="124"/>
      <c r="F48" s="332"/>
      <c r="G48" s="1850" t="s">
        <v>1906</v>
      </c>
      <c r="H48" s="332"/>
      <c r="I48" s="72"/>
      <c r="J48" s="117"/>
      <c r="K48" s="1117"/>
    </row>
    <row r="49" spans="2:11" ht="15" customHeight="1">
      <c r="B49" s="797" t="s">
        <v>422</v>
      </c>
      <c r="C49" s="115"/>
      <c r="D49" s="115" t="s">
        <v>614</v>
      </c>
      <c r="E49" s="115" t="s">
        <v>703</v>
      </c>
      <c r="F49" s="115" t="s">
        <v>702</v>
      </c>
      <c r="G49" s="37" t="s">
        <v>713</v>
      </c>
      <c r="H49" s="124"/>
      <c r="I49" s="72"/>
      <c r="J49" s="117"/>
      <c r="K49" s="1117"/>
    </row>
    <row r="50" spans="2:11" ht="15" customHeight="1">
      <c r="B50" s="797"/>
      <c r="C50" s="72"/>
      <c r="D50" s="149" t="s">
        <v>715</v>
      </c>
      <c r="E50" s="185"/>
      <c r="F50" s="149" t="s">
        <v>714</v>
      </c>
      <c r="G50" s="72" t="s">
        <v>716</v>
      </c>
      <c r="H50" s="124"/>
      <c r="I50" s="72"/>
      <c r="J50" s="117"/>
      <c r="K50" s="1117"/>
    </row>
    <row r="51" spans="2:11" ht="15" customHeight="1">
      <c r="B51" s="1304" t="e">
        <f ca="1">_xll.BToday()</f>
        <v>#NAME?</v>
      </c>
      <c r="C51" s="464"/>
      <c r="D51" s="1839" t="str">
        <f t="shared" ref="D51:D62" si="0">("CDR="&amp;$B$53)</f>
        <v>CDR=TE</v>
      </c>
      <c r="E51" s="1839">
        <v>2</v>
      </c>
      <c r="F51" s="1839" t="s">
        <v>612</v>
      </c>
      <c r="G51" s="2014" t="e">
        <f ca="1">_xll.BADDPERIODS($B$51,"NumberOfPeriods="&amp;E51,D51,"per="&amp;F51)</f>
        <v>#NAME?</v>
      </c>
      <c r="H51" s="124"/>
      <c r="I51" s="111"/>
      <c r="J51" s="117"/>
      <c r="K51" s="1117"/>
    </row>
    <row r="52" spans="2:11" ht="15" customHeight="1">
      <c r="B52" s="118"/>
      <c r="C52" s="464"/>
      <c r="D52" s="1839" t="str">
        <f t="shared" si="0"/>
        <v>CDR=TE</v>
      </c>
      <c r="E52" s="1581">
        <v>1</v>
      </c>
      <c r="F52" s="1581" t="s">
        <v>603</v>
      </c>
      <c r="G52" s="1849" t="e">
        <f ca="1">_xll.BADDPERIODS($B$51,"NumberOfPeriods="&amp;E52,D52,"per="&amp;F52)</f>
        <v>#NAME?</v>
      </c>
      <c r="H52" s="124"/>
      <c r="I52" s="111"/>
      <c r="J52" s="117"/>
      <c r="K52" s="1117"/>
    </row>
    <row r="53" spans="2:11" ht="15" customHeight="1">
      <c r="B53" s="1581" t="s">
        <v>633</v>
      </c>
      <c r="C53" s="464"/>
      <c r="D53" s="1839" t="str">
        <f t="shared" si="0"/>
        <v>CDR=TE</v>
      </c>
      <c r="E53" s="1581">
        <v>2</v>
      </c>
      <c r="F53" s="1581" t="s">
        <v>603</v>
      </c>
      <c r="G53" s="1849" t="e">
        <f ca="1">_xll.BADDPERIODS($B$51,"NumberOfPeriods="&amp;E53,D53,"per="&amp;F53)</f>
        <v>#NAME?</v>
      </c>
      <c r="H53" s="124"/>
      <c r="I53" s="111"/>
      <c r="J53" s="117"/>
      <c r="K53" s="1117"/>
    </row>
    <row r="54" spans="2:11" ht="15" customHeight="1">
      <c r="B54" s="2015" t="s">
        <v>1907</v>
      </c>
      <c r="C54" s="464"/>
      <c r="D54" s="1839" t="str">
        <f t="shared" si="0"/>
        <v>CDR=TE</v>
      </c>
      <c r="E54" s="1581">
        <v>3</v>
      </c>
      <c r="F54" s="1581" t="s">
        <v>603</v>
      </c>
      <c r="G54" s="1849" t="e">
        <f ca="1">_xll.BADDPERIODS($B$51,"NumberOfPeriods="&amp;E54,D54,"per="&amp;F54)</f>
        <v>#NAME?</v>
      </c>
      <c r="H54" s="124"/>
      <c r="I54" s="111"/>
      <c r="J54" s="117"/>
      <c r="K54" s="1117"/>
    </row>
    <row r="55" spans="2:11" ht="15" customHeight="1">
      <c r="B55" s="116"/>
      <c r="C55" s="464"/>
      <c r="D55" s="1839" t="str">
        <f t="shared" si="0"/>
        <v>CDR=TE</v>
      </c>
      <c r="E55" s="1581">
        <v>1</v>
      </c>
      <c r="F55" s="1581" t="s">
        <v>609</v>
      </c>
      <c r="G55" s="1849" t="e">
        <f ca="1">_xll.BADDPERIODS($B$51,"NumberOfPeriods="&amp;E55,D55,"per="&amp;F55)</f>
        <v>#NAME?</v>
      </c>
      <c r="H55" s="124"/>
      <c r="I55" s="111"/>
      <c r="J55" s="117"/>
      <c r="K55" s="1117"/>
    </row>
    <row r="56" spans="2:11" ht="15" customHeight="1">
      <c r="B56" s="2016" t="s">
        <v>1908</v>
      </c>
      <c r="C56" s="464"/>
      <c r="D56" s="1839" t="str">
        <f t="shared" si="0"/>
        <v>CDR=TE</v>
      </c>
      <c r="E56" s="1581">
        <v>3</v>
      </c>
      <c r="F56" s="1581" t="s">
        <v>609</v>
      </c>
      <c r="G56" s="1849" t="e">
        <f ca="1">_xll.BADDPERIODS($B$51,"NumberOfPeriods="&amp;E56,D56,"per="&amp;F56)</f>
        <v>#NAME?</v>
      </c>
      <c r="H56" s="124"/>
      <c r="I56" s="111"/>
      <c r="J56" s="117"/>
      <c r="K56" s="1117"/>
    </row>
    <row r="57" spans="2:11" ht="15" customHeight="1">
      <c r="B57" s="2016" t="s">
        <v>1909</v>
      </c>
      <c r="C57" s="464"/>
      <c r="D57" s="1839" t="str">
        <f t="shared" si="0"/>
        <v>CDR=TE</v>
      </c>
      <c r="E57" s="1581">
        <v>6</v>
      </c>
      <c r="F57" s="1581" t="s">
        <v>609</v>
      </c>
      <c r="G57" s="1849" t="e">
        <f ca="1">_xll.BADDPERIODS($B$51,"NumberOfPeriods="&amp;E57,D57,"per="&amp;F57)</f>
        <v>#NAME?</v>
      </c>
      <c r="H57" s="124"/>
      <c r="I57" s="111"/>
      <c r="J57" s="117"/>
      <c r="K57" s="1117"/>
    </row>
    <row r="58" spans="2:11" ht="15" customHeight="1">
      <c r="B58" s="2016" t="s">
        <v>1911</v>
      </c>
      <c r="C58" s="464"/>
      <c r="D58" s="1839" t="str">
        <f t="shared" si="0"/>
        <v>CDR=TE</v>
      </c>
      <c r="E58" s="1581">
        <v>1</v>
      </c>
      <c r="F58" s="1581" t="s">
        <v>610</v>
      </c>
      <c r="G58" s="1849" t="e">
        <f ca="1">_xll.BADDPERIODS($B$51,"NumberOfPeriods="&amp;E58,D58,"per="&amp;F58)</f>
        <v>#NAME?</v>
      </c>
      <c r="H58" s="124"/>
      <c r="I58" s="111"/>
      <c r="J58" s="117"/>
      <c r="K58" s="1117"/>
    </row>
    <row r="59" spans="2:11" ht="15" customHeight="1">
      <c r="B59" s="116"/>
      <c r="C59" s="464"/>
      <c r="D59" s="1839" t="str">
        <f t="shared" si="0"/>
        <v>CDR=TE</v>
      </c>
      <c r="E59" s="1581">
        <v>2</v>
      </c>
      <c r="F59" s="1581" t="s">
        <v>610</v>
      </c>
      <c r="G59" s="1849" t="e">
        <f ca="1">_xll.BADDPERIODS($B$51,"NumberOfPeriods="&amp;E59,D59,"per="&amp;F59)</f>
        <v>#NAME?</v>
      </c>
      <c r="H59" s="124"/>
      <c r="I59" s="111"/>
      <c r="J59" s="117"/>
      <c r="K59" s="1117"/>
    </row>
    <row r="60" spans="2:11" ht="15" customHeight="1">
      <c r="B60" s="116"/>
      <c r="C60" s="464"/>
      <c r="D60" s="1839" t="str">
        <f t="shared" si="0"/>
        <v>CDR=TE</v>
      </c>
      <c r="E60" s="1581">
        <v>3</v>
      </c>
      <c r="F60" s="1581" t="s">
        <v>610</v>
      </c>
      <c r="G60" s="1849" t="e">
        <f ca="1">_xll.BADDPERIODS($B$51,"NumberOfPeriods="&amp;E60,D60,"per="&amp;F60)</f>
        <v>#NAME?</v>
      </c>
      <c r="H60" s="124"/>
      <c r="I60" s="111"/>
      <c r="J60" s="117"/>
      <c r="K60" s="1117"/>
    </row>
    <row r="61" spans="2:11" ht="15" customHeight="1">
      <c r="B61" s="116"/>
      <c r="C61" s="464"/>
      <c r="D61" s="1839" t="str">
        <f t="shared" si="0"/>
        <v>CDR=TE</v>
      </c>
      <c r="E61" s="1581">
        <v>4</v>
      </c>
      <c r="F61" s="1581" t="s">
        <v>610</v>
      </c>
      <c r="G61" s="1849" t="e">
        <f ca="1">_xll.BADDPERIODS($B$51,"NumberOfPeriods="&amp;E61,D61,"per="&amp;F61)</f>
        <v>#NAME?</v>
      </c>
      <c r="H61" s="124"/>
      <c r="I61" s="111"/>
      <c r="J61" s="117"/>
      <c r="K61" s="1117"/>
    </row>
    <row r="62" spans="2:11" ht="15" customHeight="1">
      <c r="B62" s="116"/>
      <c r="C62" s="464"/>
      <c r="D62" s="1839" t="str">
        <f t="shared" si="0"/>
        <v>CDR=TE</v>
      </c>
      <c r="E62" s="1581">
        <v>5</v>
      </c>
      <c r="F62" s="1581" t="s">
        <v>610</v>
      </c>
      <c r="G62" s="1849" t="e">
        <f ca="1">_xll.BADDPERIODS($B$51,"NumberOfPeriods="&amp;E62,D62,"per="&amp;F62)</f>
        <v>#NAME?</v>
      </c>
      <c r="H62" s="124"/>
      <c r="I62" s="111"/>
      <c r="J62" s="117"/>
      <c r="K62" s="1117"/>
    </row>
    <row r="63" spans="2:11" ht="15" customHeight="1">
      <c r="B63" s="789"/>
      <c r="C63" s="35"/>
      <c r="D63" s="35"/>
      <c r="E63" s="35"/>
      <c r="F63" s="35"/>
      <c r="G63" s="35"/>
      <c r="H63" s="35"/>
      <c r="I63" s="35"/>
      <c r="J63" s="44"/>
      <c r="K63" s="1117"/>
    </row>
    <row r="64" spans="2:11" ht="15" customHeight="1">
      <c r="B64" s="1118"/>
      <c r="C64" s="1118"/>
      <c r="D64" s="1118"/>
      <c r="E64" s="1118"/>
      <c r="F64" s="1118"/>
      <c r="G64" s="1118"/>
      <c r="H64" s="1118"/>
      <c r="I64" s="1118"/>
      <c r="J64" s="1118"/>
      <c r="K64" s="1117"/>
    </row>
    <row r="65" spans="2:11" ht="15" customHeight="1">
      <c r="B65" s="1118"/>
      <c r="C65" s="1118"/>
      <c r="D65" s="1118"/>
      <c r="E65" s="1118"/>
      <c r="F65" s="1118"/>
      <c r="G65" s="1118"/>
      <c r="H65" s="1118"/>
      <c r="I65" s="1118"/>
      <c r="J65" s="1118"/>
      <c r="K65" s="1117"/>
    </row>
    <row r="66" spans="2:11" ht="15" customHeight="1">
      <c r="B66" s="1158" t="s">
        <v>664</v>
      </c>
    </row>
    <row r="67" spans="2:11" ht="15" customHeight="1">
      <c r="B67" s="2191" t="s">
        <v>679</v>
      </c>
      <c r="C67" s="134"/>
      <c r="D67" s="134"/>
      <c r="E67" s="134"/>
      <c r="F67" s="134"/>
      <c r="G67" s="151"/>
      <c r="H67" s="151"/>
      <c r="I67" s="151"/>
      <c r="J67" s="135"/>
    </row>
    <row r="68" spans="2:11" ht="15" customHeight="1">
      <c r="B68" s="2192" t="s">
        <v>1233</v>
      </c>
      <c r="C68" s="120"/>
      <c r="D68" s="120"/>
      <c r="E68" s="120"/>
      <c r="F68" s="120"/>
      <c r="G68" s="119"/>
      <c r="H68" s="119"/>
      <c r="I68" s="119"/>
      <c r="J68" s="137"/>
    </row>
    <row r="69" spans="2:11" ht="15" customHeight="1">
      <c r="B69" s="136" t="s">
        <v>621</v>
      </c>
      <c r="C69" s="120"/>
      <c r="D69" s="120"/>
      <c r="E69" s="440" t="s">
        <v>791</v>
      </c>
      <c r="F69" s="120"/>
      <c r="G69" s="120"/>
      <c r="H69" s="119"/>
      <c r="I69" s="119"/>
      <c r="J69" s="137"/>
    </row>
    <row r="70" spans="2:11" ht="15" customHeight="1">
      <c r="B70" s="1041" t="s">
        <v>619</v>
      </c>
      <c r="C70" s="1042" t="s">
        <v>620</v>
      </c>
      <c r="D70" s="120"/>
      <c r="E70" s="2193" t="e">
        <f ca="1">_xll.BADDPERIODS(C71,E74,E75,E76,E77,E78,E79,E80)</f>
        <v>#NAME?</v>
      </c>
      <c r="F70" s="120"/>
      <c r="G70" s="120"/>
      <c r="H70" s="119"/>
      <c r="I70" s="119"/>
      <c r="J70" s="137"/>
    </row>
    <row r="71" spans="2:11" ht="15" customHeight="1">
      <c r="B71" s="138" t="s">
        <v>622</v>
      </c>
      <c r="C71" s="1845">
        <v>42774</v>
      </c>
      <c r="D71" s="120"/>
      <c r="E71" s="120"/>
      <c r="F71" s="120"/>
      <c r="G71" s="120"/>
      <c r="H71" s="119"/>
      <c r="I71" s="119"/>
      <c r="J71" s="137"/>
    </row>
    <row r="72" spans="2:11" ht="15" customHeight="1">
      <c r="B72" s="136"/>
      <c r="C72" s="123"/>
      <c r="D72" s="120"/>
      <c r="E72" s="120"/>
      <c r="F72" s="128"/>
      <c r="G72" s="120"/>
      <c r="H72" s="119"/>
      <c r="I72" s="119"/>
      <c r="J72" s="137"/>
    </row>
    <row r="73" spans="2:11" ht="15" customHeight="1">
      <c r="B73" s="136" t="s">
        <v>626</v>
      </c>
      <c r="C73" s="122"/>
      <c r="D73" s="120"/>
      <c r="E73" s="1043" t="s">
        <v>625</v>
      </c>
      <c r="F73" s="1043" t="s">
        <v>624</v>
      </c>
      <c r="G73" s="119"/>
      <c r="H73" s="184"/>
      <c r="I73" s="119"/>
      <c r="J73" s="137"/>
    </row>
    <row r="74" spans="2:11" ht="15" customHeight="1">
      <c r="B74" s="139" t="s">
        <v>627</v>
      </c>
      <c r="C74" s="1846" t="s">
        <v>673</v>
      </c>
      <c r="D74" s="125" t="s">
        <v>629</v>
      </c>
      <c r="E74" s="131" t="str">
        <f>B74 &amp; "=" &amp;  (INDEX(C87:C93,MATCH(C74,D87:D93,FALSE),1))</f>
        <v>Per=m</v>
      </c>
      <c r="F74" s="2419" t="str">
        <f>"=BAddPeriods("&amp;TEXT(C71,"dd-mmm-yy")&amp;", " &amp;E74&amp;", " &amp;E75&amp;", " &amp;E76&amp;", " &amp;E77&amp;", " &amp;E78&amp;", " &amp;E79&amp;", " &amp;E80&amp;")"</f>
        <v>=BAddPeriods(08-Feb-17, Per=m, NumberOfPeriods=14, BusDayAdj=-1, CDR=TE, EOM=0, Wed3=FALSE, NonWorkingDays=SAT SUN)</v>
      </c>
      <c r="G74" s="119"/>
      <c r="H74" s="184"/>
      <c r="I74" s="119"/>
      <c r="J74" s="137"/>
    </row>
    <row r="75" spans="2:11" ht="15" customHeight="1">
      <c r="B75" s="140" t="s">
        <v>665</v>
      </c>
      <c r="C75" s="1847">
        <v>14</v>
      </c>
      <c r="D75" s="125" t="s">
        <v>629</v>
      </c>
      <c r="E75" s="132" t="str">
        <f>B75 &amp; "=" &amp; C75</f>
        <v>NumberOfPeriods=14</v>
      </c>
      <c r="F75" s="2420"/>
      <c r="G75" s="119"/>
      <c r="H75" s="184"/>
      <c r="I75" s="119"/>
      <c r="J75" s="137"/>
    </row>
    <row r="76" spans="2:11" ht="15" customHeight="1">
      <c r="B76" s="140" t="s">
        <v>666</v>
      </c>
      <c r="C76" s="1846" t="s">
        <v>675</v>
      </c>
      <c r="D76" s="125" t="s">
        <v>629</v>
      </c>
      <c r="E76" s="132" t="str">
        <f>B76 &amp; "=" &amp; INDEX(C103:C108,MATCH(C76,D103:D108,FALSE),1)</f>
        <v>BusDayAdj=-1</v>
      </c>
      <c r="F76" s="2420"/>
      <c r="G76" s="119"/>
      <c r="H76" s="184"/>
      <c r="I76" s="119"/>
      <c r="J76" s="137"/>
    </row>
    <row r="77" spans="2:11" ht="15" customHeight="1">
      <c r="B77" s="140" t="s">
        <v>632</v>
      </c>
      <c r="C77" s="1846" t="s">
        <v>633</v>
      </c>
      <c r="D77" s="125" t="s">
        <v>629</v>
      </c>
      <c r="E77" s="132" t="str">
        <f>B77&amp; "=" &amp;C77</f>
        <v>CDR=TE</v>
      </c>
      <c r="F77" s="2420"/>
      <c r="G77" s="119"/>
      <c r="H77" s="184"/>
      <c r="I77" s="119"/>
      <c r="J77" s="137"/>
    </row>
    <row r="78" spans="2:11" ht="15" customHeight="1">
      <c r="B78" s="140" t="s">
        <v>668</v>
      </c>
      <c r="C78" s="1846" t="s">
        <v>640</v>
      </c>
      <c r="D78" s="125" t="s">
        <v>629</v>
      </c>
      <c r="E78" s="132" t="str">
        <f>B78 &amp; "=" &amp; INDEX(C118:C121,MATCH(C78,D118:D121,FALSE),1)</f>
        <v>EOM=0</v>
      </c>
      <c r="F78" s="2420"/>
      <c r="G78" s="119"/>
      <c r="H78" s="184"/>
      <c r="I78" s="119"/>
      <c r="J78" s="137"/>
    </row>
    <row r="79" spans="2:11" ht="15" customHeight="1">
      <c r="B79" s="140" t="s">
        <v>670</v>
      </c>
      <c r="C79" s="1846" t="b">
        <v>0</v>
      </c>
      <c r="D79" s="125" t="s">
        <v>629</v>
      </c>
      <c r="E79" s="132" t="str">
        <f>B79&amp;"="&amp;C79</f>
        <v>Wed3=FALSE</v>
      </c>
      <c r="F79" s="2420"/>
      <c r="G79" s="119"/>
      <c r="H79" s="184"/>
      <c r="I79" s="119"/>
      <c r="J79" s="137"/>
    </row>
    <row r="80" spans="2:11" ht="15" customHeight="1">
      <c r="B80" s="141" t="s">
        <v>634</v>
      </c>
      <c r="C80" s="1846" t="s">
        <v>635</v>
      </c>
      <c r="D80" s="125" t="s">
        <v>629</v>
      </c>
      <c r="E80" s="133" t="str">
        <f>B80&amp;"="&amp;C80</f>
        <v>NonWorkingDays=SAT SUN</v>
      </c>
      <c r="F80" s="2421"/>
      <c r="G80" s="119"/>
      <c r="H80" s="119"/>
      <c r="I80" s="119"/>
      <c r="J80" s="137"/>
    </row>
    <row r="81" spans="2:10" ht="15" customHeight="1">
      <c r="B81" s="136"/>
      <c r="C81" s="120"/>
      <c r="D81" s="120"/>
      <c r="E81" s="120"/>
      <c r="F81" s="120"/>
      <c r="G81" s="120"/>
      <c r="H81" s="119"/>
      <c r="I81" s="119"/>
      <c r="J81" s="137"/>
    </row>
    <row r="82" spans="2:10" ht="15" customHeight="1">
      <c r="B82" s="136"/>
      <c r="C82" s="120"/>
      <c r="D82" s="120"/>
      <c r="E82" s="120"/>
      <c r="F82" s="120"/>
      <c r="G82" s="120"/>
      <c r="H82" s="119"/>
      <c r="I82" s="119"/>
      <c r="J82" s="137"/>
    </row>
    <row r="83" spans="2:10" ht="15" customHeight="1">
      <c r="B83" s="142" t="s">
        <v>636</v>
      </c>
      <c r="C83" s="120"/>
      <c r="D83" s="120"/>
      <c r="E83" s="120"/>
      <c r="F83" s="120"/>
      <c r="G83" s="120"/>
      <c r="H83" s="119"/>
      <c r="I83" s="119"/>
      <c r="J83" s="137"/>
    </row>
    <row r="84" spans="2:10" ht="15" customHeight="1">
      <c r="B84" s="136"/>
      <c r="C84" s="120"/>
      <c r="D84" s="120"/>
      <c r="E84" s="120"/>
      <c r="F84" s="120"/>
      <c r="G84" s="120"/>
      <c r="H84" s="119"/>
      <c r="I84" s="119"/>
      <c r="J84" s="137"/>
    </row>
    <row r="85" spans="2:10" ht="15" customHeight="1">
      <c r="B85" s="143" t="s">
        <v>627</v>
      </c>
      <c r="C85" s="126" t="s">
        <v>680</v>
      </c>
      <c r="D85" s="120"/>
      <c r="E85" s="120"/>
      <c r="F85" s="120"/>
      <c r="G85" s="120"/>
      <c r="H85" s="119"/>
      <c r="I85" s="119"/>
      <c r="J85" s="137"/>
    </row>
    <row r="86" spans="2:10" ht="15" customHeight="1">
      <c r="B86" s="144"/>
      <c r="C86" s="120" t="s">
        <v>648</v>
      </c>
      <c r="D86" s="120"/>
      <c r="E86" s="120"/>
      <c r="F86" s="120"/>
      <c r="G86" s="120"/>
      <c r="H86" s="119"/>
      <c r="I86" s="119"/>
      <c r="J86" s="137"/>
    </row>
    <row r="87" spans="2:10" ht="15" customHeight="1">
      <c r="B87" s="143"/>
      <c r="C87" s="129" t="s">
        <v>610</v>
      </c>
      <c r="D87" s="120" t="s">
        <v>628</v>
      </c>
      <c r="E87" s="120"/>
      <c r="F87" s="120"/>
      <c r="G87" s="120"/>
      <c r="H87" s="119"/>
      <c r="I87" s="119"/>
      <c r="J87" s="137"/>
    </row>
    <row r="88" spans="2:10" ht="15" customHeight="1">
      <c r="B88" s="145"/>
      <c r="C88" s="129" t="s">
        <v>671</v>
      </c>
      <c r="D88" s="120" t="s">
        <v>672</v>
      </c>
      <c r="E88" s="120"/>
      <c r="F88" s="120"/>
      <c r="G88" s="120"/>
      <c r="H88" s="119"/>
      <c r="I88" s="119"/>
      <c r="J88" s="137"/>
    </row>
    <row r="89" spans="2:10" ht="15" customHeight="1">
      <c r="B89" s="136"/>
      <c r="C89" s="129" t="s">
        <v>609</v>
      </c>
      <c r="D89" s="120" t="s">
        <v>673</v>
      </c>
      <c r="E89" s="120"/>
      <c r="F89" s="120"/>
      <c r="G89" s="120"/>
      <c r="H89" s="119"/>
      <c r="I89" s="119"/>
      <c r="J89" s="137"/>
    </row>
    <row r="90" spans="2:10" ht="15" customHeight="1">
      <c r="B90" s="136"/>
      <c r="C90" s="129" t="s">
        <v>603</v>
      </c>
      <c r="D90" s="120" t="s">
        <v>674</v>
      </c>
      <c r="E90" s="120"/>
      <c r="F90" s="120"/>
      <c r="G90" s="120"/>
      <c r="H90" s="119"/>
      <c r="I90" s="119"/>
      <c r="J90" s="137"/>
    </row>
    <row r="91" spans="2:10" ht="15" customHeight="1">
      <c r="B91" s="143"/>
      <c r="C91" s="129" t="s">
        <v>612</v>
      </c>
      <c r="D91" s="120" t="s">
        <v>637</v>
      </c>
      <c r="E91" s="120"/>
      <c r="F91" s="120"/>
      <c r="G91" s="120"/>
      <c r="H91" s="119"/>
      <c r="I91" s="119"/>
      <c r="J91" s="137"/>
    </row>
    <row r="92" spans="2:10" ht="15" customHeight="1">
      <c r="B92" s="143"/>
      <c r="C92" s="129" t="s">
        <v>638</v>
      </c>
      <c r="D92" s="120" t="s">
        <v>639</v>
      </c>
      <c r="E92" s="120"/>
      <c r="F92" s="120"/>
      <c r="G92" s="120"/>
      <c r="H92" s="119"/>
      <c r="I92" s="119"/>
      <c r="J92" s="137"/>
    </row>
    <row r="93" spans="2:10" ht="15" customHeight="1">
      <c r="B93" s="136"/>
      <c r="C93" s="129" t="s">
        <v>612</v>
      </c>
      <c r="D93" s="120" t="s">
        <v>640</v>
      </c>
      <c r="E93" s="120"/>
      <c r="F93" s="120"/>
      <c r="G93" s="120"/>
      <c r="H93" s="119"/>
      <c r="I93" s="119"/>
      <c r="J93" s="137"/>
    </row>
    <row r="94" spans="2:10" ht="15" customHeight="1">
      <c r="B94" s="136"/>
      <c r="C94" s="120"/>
      <c r="D94" s="120"/>
      <c r="E94" s="120"/>
      <c r="F94" s="120"/>
      <c r="G94" s="120"/>
      <c r="H94" s="119"/>
      <c r="I94" s="119"/>
      <c r="J94" s="137"/>
    </row>
    <row r="95" spans="2:10" ht="15" customHeight="1">
      <c r="B95" s="143" t="s">
        <v>665</v>
      </c>
      <c r="C95" s="126" t="s">
        <v>681</v>
      </c>
      <c r="D95" s="120"/>
      <c r="E95" s="120"/>
      <c r="F95" s="120"/>
      <c r="G95" s="120"/>
      <c r="H95" s="119"/>
      <c r="I95" s="119"/>
      <c r="J95" s="137"/>
    </row>
    <row r="96" spans="2:10" ht="15" customHeight="1">
      <c r="B96" s="136"/>
      <c r="C96" s="120" t="s">
        <v>682</v>
      </c>
      <c r="D96" s="120"/>
      <c r="E96" s="120"/>
      <c r="F96" s="120"/>
      <c r="G96" s="120"/>
      <c r="H96" s="119"/>
      <c r="I96" s="119"/>
      <c r="J96" s="137"/>
    </row>
    <row r="97" spans="2:10" ht="15" customHeight="1">
      <c r="B97" s="136"/>
      <c r="C97" s="120" t="s">
        <v>683</v>
      </c>
      <c r="D97" s="120"/>
      <c r="E97" s="120"/>
      <c r="F97" s="120"/>
      <c r="G97" s="120"/>
      <c r="H97" s="119"/>
      <c r="I97" s="119"/>
      <c r="J97" s="137"/>
    </row>
    <row r="98" spans="2:10" ht="15" customHeight="1">
      <c r="B98" s="136"/>
      <c r="C98" s="126" t="s">
        <v>684</v>
      </c>
      <c r="D98" s="120"/>
      <c r="E98" s="120"/>
      <c r="F98" s="120"/>
      <c r="G98" s="120"/>
      <c r="H98" s="119"/>
      <c r="I98" s="119"/>
      <c r="J98" s="137"/>
    </row>
    <row r="99" spans="2:10" ht="15" customHeight="1">
      <c r="B99" s="136"/>
      <c r="C99" s="120" t="s">
        <v>685</v>
      </c>
      <c r="D99" s="120"/>
      <c r="E99" s="120"/>
      <c r="F99" s="120"/>
      <c r="G99" s="120"/>
      <c r="H99" s="119"/>
      <c r="I99" s="119"/>
      <c r="J99" s="137"/>
    </row>
    <row r="100" spans="2:10" ht="15" customHeight="1">
      <c r="B100" s="142"/>
      <c r="C100" s="127"/>
      <c r="D100" s="120"/>
      <c r="E100" s="120"/>
      <c r="F100" s="120"/>
      <c r="G100" s="120"/>
      <c r="H100" s="119"/>
      <c r="I100" s="119"/>
      <c r="J100" s="137"/>
    </row>
    <row r="101" spans="2:10" ht="15" customHeight="1">
      <c r="B101" s="143" t="s">
        <v>666</v>
      </c>
      <c r="C101" s="126" t="s">
        <v>686</v>
      </c>
      <c r="D101" s="120"/>
      <c r="E101" s="120"/>
      <c r="F101" s="120"/>
      <c r="G101" s="120"/>
      <c r="H101" s="119"/>
      <c r="I101" s="119"/>
      <c r="J101" s="137"/>
    </row>
    <row r="102" spans="2:10" ht="15" customHeight="1">
      <c r="B102" s="142"/>
      <c r="C102" s="120" t="s">
        <v>687</v>
      </c>
      <c r="D102" s="120"/>
      <c r="E102" s="120"/>
      <c r="F102" s="120"/>
      <c r="G102" s="120"/>
      <c r="H102" s="119"/>
      <c r="I102" s="119"/>
      <c r="J102" s="137"/>
    </row>
    <row r="103" spans="2:10" ht="15" customHeight="1">
      <c r="B103" s="142"/>
      <c r="C103" s="129">
        <v>0</v>
      </c>
      <c r="D103" s="120" t="s">
        <v>669</v>
      </c>
      <c r="E103" s="120"/>
      <c r="F103" s="120"/>
      <c r="G103" s="120"/>
      <c r="H103" s="119"/>
      <c r="I103" s="119"/>
      <c r="J103" s="137"/>
    </row>
    <row r="104" spans="2:10" ht="15" customHeight="1">
      <c r="B104" s="136"/>
      <c r="C104" s="129">
        <v>-1</v>
      </c>
      <c r="D104" s="121" t="s">
        <v>675</v>
      </c>
      <c r="E104" s="120"/>
      <c r="F104" s="120"/>
      <c r="G104" s="120"/>
      <c r="H104" s="119"/>
      <c r="I104" s="119"/>
      <c r="J104" s="137"/>
    </row>
    <row r="105" spans="2:10" ht="15" customHeight="1">
      <c r="B105" s="142"/>
      <c r="C105" s="129">
        <v>-2</v>
      </c>
      <c r="D105" s="121" t="s">
        <v>667</v>
      </c>
      <c r="E105" s="120"/>
      <c r="F105" s="120"/>
      <c r="G105" s="120"/>
      <c r="H105" s="119"/>
      <c r="I105" s="119"/>
      <c r="J105" s="137"/>
    </row>
    <row r="106" spans="2:10" ht="15" customHeight="1">
      <c r="B106" s="142"/>
      <c r="C106" s="129">
        <v>1</v>
      </c>
      <c r="D106" s="121" t="s">
        <v>676</v>
      </c>
      <c r="E106" s="120"/>
      <c r="F106" s="120"/>
      <c r="G106" s="120"/>
      <c r="H106" s="119"/>
      <c r="I106" s="119"/>
      <c r="J106" s="137"/>
    </row>
    <row r="107" spans="2:10" ht="15" customHeight="1">
      <c r="B107" s="143"/>
      <c r="C107" s="129">
        <v>2</v>
      </c>
      <c r="D107" s="121" t="s">
        <v>677</v>
      </c>
      <c r="E107" s="120"/>
      <c r="F107" s="120"/>
      <c r="G107" s="120"/>
      <c r="H107" s="119"/>
      <c r="I107" s="119"/>
      <c r="J107" s="137"/>
    </row>
    <row r="108" spans="2:10" ht="15" customHeight="1">
      <c r="B108" s="142"/>
      <c r="C108" s="129">
        <v>-1</v>
      </c>
      <c r="D108" s="121" t="s">
        <v>640</v>
      </c>
      <c r="E108" s="120"/>
      <c r="F108" s="120"/>
      <c r="G108" s="120"/>
      <c r="H108" s="119"/>
      <c r="I108" s="119"/>
      <c r="J108" s="137"/>
    </row>
    <row r="109" spans="2:10" ht="15" customHeight="1">
      <c r="B109" s="143"/>
      <c r="C109" s="120"/>
      <c r="D109" s="120"/>
      <c r="E109" s="120"/>
      <c r="F109" s="120"/>
      <c r="G109" s="120"/>
      <c r="H109" s="119"/>
      <c r="I109" s="119"/>
      <c r="J109" s="137"/>
    </row>
    <row r="110" spans="2:10" ht="15" customHeight="1">
      <c r="B110" s="143" t="s">
        <v>632</v>
      </c>
      <c r="C110" s="126" t="s">
        <v>653</v>
      </c>
      <c r="D110" s="120"/>
      <c r="E110" s="120"/>
      <c r="F110" s="120"/>
      <c r="G110" s="120"/>
      <c r="H110" s="119"/>
      <c r="I110" s="119"/>
      <c r="J110" s="137"/>
    </row>
    <row r="111" spans="2:10" ht="15" customHeight="1">
      <c r="B111" s="143"/>
      <c r="C111" s="120" t="s">
        <v>654</v>
      </c>
      <c r="D111" s="120"/>
      <c r="E111" s="120"/>
      <c r="F111" s="120"/>
      <c r="G111" s="120"/>
      <c r="H111" s="119"/>
      <c r="I111" s="119"/>
      <c r="J111" s="137"/>
    </row>
    <row r="112" spans="2:10" ht="15" customHeight="1">
      <c r="B112" s="143"/>
      <c r="C112" s="120" t="s">
        <v>688</v>
      </c>
      <c r="D112" s="120"/>
      <c r="E112" s="120"/>
      <c r="F112" s="120"/>
      <c r="G112" s="120"/>
      <c r="H112" s="119"/>
      <c r="I112" s="119"/>
      <c r="J112" s="137"/>
    </row>
    <row r="113" spans="2:10" ht="15" customHeight="1">
      <c r="B113" s="143"/>
      <c r="C113" s="126" t="s">
        <v>689</v>
      </c>
      <c r="D113" s="121"/>
      <c r="E113" s="120"/>
      <c r="F113" s="120"/>
      <c r="G113" s="120"/>
      <c r="H113" s="119"/>
      <c r="I113" s="119"/>
      <c r="J113" s="137"/>
    </row>
    <row r="114" spans="2:10" ht="15" customHeight="1">
      <c r="B114" s="143"/>
      <c r="C114" s="126"/>
      <c r="D114" s="120"/>
      <c r="E114" s="120"/>
      <c r="F114" s="120"/>
      <c r="G114" s="120"/>
      <c r="H114" s="119"/>
      <c r="I114" s="119"/>
      <c r="J114" s="137"/>
    </row>
    <row r="115" spans="2:10" ht="15" customHeight="1">
      <c r="B115" s="143" t="s">
        <v>668</v>
      </c>
      <c r="C115" s="126" t="s">
        <v>690</v>
      </c>
      <c r="D115" s="120"/>
      <c r="E115" s="120"/>
      <c r="F115" s="120"/>
      <c r="G115" s="120"/>
      <c r="H115" s="119"/>
      <c r="I115" s="119"/>
      <c r="J115" s="137"/>
    </row>
    <row r="116" spans="2:10" ht="15" customHeight="1">
      <c r="B116" s="143"/>
      <c r="C116" s="120" t="s">
        <v>691</v>
      </c>
      <c r="D116" s="120"/>
      <c r="E116" s="120"/>
      <c r="F116" s="120"/>
      <c r="G116" s="120"/>
      <c r="H116" s="119"/>
      <c r="I116" s="119"/>
      <c r="J116" s="137"/>
    </row>
    <row r="117" spans="2:10" ht="15" customHeight="1">
      <c r="B117" s="143"/>
      <c r="C117" s="126" t="s">
        <v>692</v>
      </c>
      <c r="D117" s="120"/>
      <c r="E117" s="120"/>
      <c r="F117" s="120"/>
      <c r="G117" s="120"/>
      <c r="H117" s="119"/>
      <c r="I117" s="119"/>
      <c r="J117" s="137"/>
    </row>
    <row r="118" spans="2:10" ht="15" customHeight="1">
      <c r="B118" s="143"/>
      <c r="C118" s="129">
        <v>0</v>
      </c>
      <c r="D118" s="121" t="s">
        <v>669</v>
      </c>
      <c r="E118" s="120"/>
      <c r="F118" s="120"/>
      <c r="G118" s="120"/>
      <c r="H118" s="119"/>
      <c r="I118" s="119"/>
      <c r="J118" s="137"/>
    </row>
    <row r="119" spans="2:10" ht="15" customHeight="1">
      <c r="B119" s="143"/>
      <c r="C119" s="129">
        <v>-1</v>
      </c>
      <c r="D119" s="121" t="s">
        <v>668</v>
      </c>
      <c r="E119" s="120"/>
      <c r="F119" s="120"/>
      <c r="G119" s="120"/>
      <c r="H119" s="119"/>
      <c r="I119" s="119"/>
      <c r="J119" s="137"/>
    </row>
    <row r="120" spans="2:10" ht="15" customHeight="1">
      <c r="B120" s="143"/>
      <c r="C120" s="129">
        <v>1</v>
      </c>
      <c r="D120" s="121" t="s">
        <v>678</v>
      </c>
      <c r="E120" s="120"/>
      <c r="F120" s="120"/>
      <c r="G120" s="120"/>
      <c r="H120" s="119"/>
      <c r="I120" s="119"/>
      <c r="J120" s="137"/>
    </row>
    <row r="121" spans="2:10" ht="15" customHeight="1">
      <c r="B121" s="143"/>
      <c r="C121" s="129">
        <v>0</v>
      </c>
      <c r="D121" s="121" t="s">
        <v>640</v>
      </c>
      <c r="E121" s="120"/>
      <c r="F121" s="120"/>
      <c r="G121" s="120"/>
      <c r="H121" s="119"/>
      <c r="I121" s="119"/>
      <c r="J121" s="137"/>
    </row>
    <row r="122" spans="2:10" ht="15" customHeight="1">
      <c r="B122" s="143"/>
      <c r="C122" s="129"/>
      <c r="D122" s="121"/>
      <c r="E122" s="120"/>
      <c r="F122" s="120"/>
      <c r="G122" s="120"/>
      <c r="H122" s="119"/>
      <c r="I122" s="119"/>
      <c r="J122" s="137"/>
    </row>
    <row r="123" spans="2:10" ht="15" customHeight="1">
      <c r="B123" s="143" t="s">
        <v>670</v>
      </c>
      <c r="C123" s="126" t="s">
        <v>693</v>
      </c>
      <c r="D123" s="120"/>
      <c r="E123" s="120"/>
      <c r="F123" s="120"/>
      <c r="G123" s="120"/>
      <c r="H123" s="119"/>
      <c r="I123" s="119"/>
      <c r="J123" s="137"/>
    </row>
    <row r="124" spans="2:10" ht="15" customHeight="1">
      <c r="B124" s="143"/>
      <c r="C124" s="120" t="s">
        <v>694</v>
      </c>
      <c r="D124" s="120"/>
      <c r="E124" s="120"/>
      <c r="F124" s="120"/>
      <c r="G124" s="120"/>
      <c r="H124" s="119"/>
      <c r="I124" s="119"/>
      <c r="J124" s="137"/>
    </row>
    <row r="125" spans="2:10" ht="15" customHeight="1">
      <c r="B125" s="143"/>
      <c r="C125" s="126" t="s">
        <v>695</v>
      </c>
      <c r="D125" s="120"/>
      <c r="E125" s="120"/>
      <c r="F125" s="120"/>
      <c r="G125" s="120"/>
      <c r="H125" s="119"/>
      <c r="I125" s="119"/>
      <c r="J125" s="137"/>
    </row>
    <row r="126" spans="2:10" ht="15" customHeight="1">
      <c r="B126" s="136"/>
      <c r="C126" s="120" t="s">
        <v>696</v>
      </c>
      <c r="D126" s="120"/>
      <c r="E126" s="120"/>
      <c r="F126" s="120"/>
      <c r="G126" s="120"/>
      <c r="H126" s="119"/>
      <c r="I126" s="119"/>
      <c r="J126" s="137"/>
    </row>
    <row r="127" spans="2:10" ht="15" customHeight="1">
      <c r="B127" s="136"/>
      <c r="C127" s="120" t="s">
        <v>697</v>
      </c>
      <c r="D127" s="120"/>
      <c r="E127" s="120"/>
      <c r="F127" s="120"/>
      <c r="G127" s="120"/>
      <c r="H127" s="119"/>
      <c r="I127" s="119"/>
      <c r="J127" s="137"/>
    </row>
    <row r="128" spans="2:10" ht="15" customHeight="1">
      <c r="B128" s="136"/>
      <c r="C128" s="120"/>
      <c r="D128" s="120"/>
      <c r="E128" s="120"/>
      <c r="F128" s="120"/>
      <c r="G128" s="120"/>
      <c r="H128" s="119"/>
      <c r="I128" s="119"/>
      <c r="J128" s="137"/>
    </row>
    <row r="129" spans="2:10" ht="15" customHeight="1">
      <c r="B129" s="143" t="s">
        <v>634</v>
      </c>
      <c r="C129" s="126" t="s">
        <v>657</v>
      </c>
      <c r="D129" s="120"/>
      <c r="E129" s="120"/>
      <c r="F129" s="120"/>
      <c r="G129" s="120"/>
      <c r="H129" s="119"/>
      <c r="I129" s="119"/>
      <c r="J129" s="137"/>
    </row>
    <row r="130" spans="2:10" ht="15" customHeight="1">
      <c r="B130" s="142"/>
      <c r="C130" s="120" t="s">
        <v>658</v>
      </c>
      <c r="D130" s="120"/>
      <c r="E130" s="120"/>
      <c r="F130" s="120"/>
      <c r="G130" s="120"/>
      <c r="H130" s="119"/>
      <c r="I130" s="119"/>
      <c r="J130" s="137"/>
    </row>
    <row r="131" spans="2:10" ht="15" customHeight="1">
      <c r="B131" s="136"/>
      <c r="C131" s="126" t="s">
        <v>659</v>
      </c>
      <c r="D131" s="120"/>
      <c r="E131" s="120"/>
      <c r="F131" s="120"/>
      <c r="G131" s="120"/>
      <c r="H131" s="119"/>
      <c r="I131" s="119"/>
      <c r="J131" s="137"/>
    </row>
    <row r="132" spans="2:10" ht="15" customHeight="1">
      <c r="B132" s="136"/>
      <c r="C132" s="120" t="s">
        <v>698</v>
      </c>
      <c r="D132" s="120"/>
      <c r="E132" s="120"/>
      <c r="F132" s="120"/>
      <c r="G132" s="120"/>
      <c r="H132" s="119"/>
      <c r="I132" s="119"/>
      <c r="J132" s="137"/>
    </row>
    <row r="133" spans="2:10" ht="15" customHeight="1">
      <c r="B133" s="146"/>
      <c r="C133" s="147"/>
      <c r="D133" s="147"/>
      <c r="E133" s="147"/>
      <c r="F133" s="147"/>
      <c r="G133" s="147"/>
      <c r="H133" s="185"/>
      <c r="I133" s="185"/>
      <c r="J133" s="186"/>
    </row>
    <row r="134" spans="2:10" ht="15" customHeight="1">
      <c r="B134" s="1836"/>
      <c r="C134" s="1836"/>
      <c r="D134" s="1836"/>
      <c r="E134" s="1834"/>
      <c r="F134" s="1836"/>
      <c r="G134" s="1837"/>
    </row>
    <row r="135" spans="2:10" ht="15" customHeight="1">
      <c r="B135" s="1119"/>
      <c r="C135" s="1119"/>
      <c r="D135" s="1119"/>
      <c r="E135" s="1119"/>
      <c r="F135" s="1836"/>
      <c r="G135" s="1837"/>
    </row>
    <row r="136" spans="2:10" ht="15" customHeight="1">
      <c r="B136" s="1118"/>
      <c r="C136" s="1118"/>
      <c r="D136" s="1119"/>
      <c r="E136" s="1119"/>
      <c r="F136" s="1836"/>
      <c r="G136" s="1837"/>
    </row>
    <row r="137" spans="2:10" ht="15" customHeight="1">
      <c r="B137" s="1118"/>
      <c r="C137" s="1118"/>
      <c r="D137" s="1119"/>
      <c r="E137" s="1119"/>
      <c r="F137" s="1836"/>
      <c r="G137" s="1837"/>
      <c r="H137" s="1837"/>
    </row>
    <row r="138" spans="2:10" ht="15" customHeight="1">
      <c r="B138" s="1118"/>
      <c r="C138" s="1118"/>
      <c r="D138" s="1119"/>
      <c r="E138" s="1119"/>
      <c r="F138" s="1836"/>
    </row>
    <row r="139" spans="2:10" ht="15" customHeight="1">
      <c r="B139" s="1118"/>
      <c r="C139" s="1118"/>
      <c r="D139" s="1119"/>
      <c r="E139" s="1119"/>
      <c r="F139" s="1836"/>
    </row>
    <row r="140" spans="2:10" ht="15" customHeight="1">
      <c r="B140" s="1118"/>
      <c r="C140" s="1118"/>
      <c r="D140" s="1119"/>
      <c r="E140" s="1119"/>
    </row>
    <row r="141" spans="2:10" ht="15" customHeight="1">
      <c r="B141" s="1118"/>
      <c r="C141" s="1118"/>
      <c r="D141" s="1119"/>
      <c r="E141" s="1119"/>
    </row>
    <row r="142" spans="2:10" ht="15" customHeight="1">
      <c r="B142" s="1118"/>
      <c r="C142" s="1118"/>
      <c r="D142" s="1119"/>
      <c r="E142" s="1119"/>
    </row>
    <row r="143" spans="2:10" ht="15" customHeight="1">
      <c r="B143" s="1118"/>
      <c r="C143" s="1118"/>
      <c r="D143" s="1119"/>
      <c r="E143" s="1119"/>
    </row>
    <row r="144" spans="2:10" ht="15" customHeight="1">
      <c r="B144" s="1118"/>
      <c r="C144" s="1118"/>
      <c r="D144" s="1119"/>
      <c r="E144" s="1119"/>
    </row>
    <row r="145" spans="2:5" ht="15" customHeight="1">
      <c r="B145" s="1835"/>
      <c r="C145" s="1830"/>
      <c r="D145" s="1830"/>
      <c r="E145" s="1830"/>
    </row>
    <row r="146" spans="2:5" ht="15" customHeight="1">
      <c r="B146" s="1837"/>
      <c r="E146" s="1830"/>
    </row>
    <row r="147" spans="2:5" ht="15" customHeight="1">
      <c r="B147" s="1837"/>
      <c r="E147" s="1830"/>
    </row>
    <row r="148" spans="2:5" ht="15" customHeight="1">
      <c r="B148" s="1837"/>
      <c r="E148" s="1830"/>
    </row>
    <row r="149" spans="2:5" ht="15" customHeight="1">
      <c r="B149" s="1837"/>
      <c r="E149" s="1830"/>
    </row>
    <row r="150" spans="2:5" ht="15" customHeight="1">
      <c r="B150" s="1837"/>
      <c r="E150" s="1830"/>
    </row>
    <row r="151" spans="2:5" ht="15" customHeight="1">
      <c r="B151" s="1837"/>
    </row>
    <row r="152" spans="2:5" ht="15" customHeight="1">
      <c r="B152" s="1837"/>
    </row>
    <row r="153" spans="2:5" ht="15" customHeight="1">
      <c r="B153" s="1837"/>
    </row>
    <row r="154" spans="2:5" ht="15" customHeight="1">
      <c r="B154" s="1837"/>
    </row>
    <row r="155" spans="2:5" ht="15" customHeight="1">
      <c r="B155" s="1837"/>
    </row>
    <row r="156" spans="2:5" ht="15" customHeight="1">
      <c r="B156" s="1837"/>
    </row>
    <row r="157" spans="2:5" ht="15" customHeight="1">
      <c r="B157" s="1837"/>
    </row>
  </sheetData>
  <mergeCells count="1">
    <mergeCell ref="F74:F80"/>
  </mergeCells>
  <phoneticPr fontId="0" type="noConversion"/>
  <dataValidations count="3">
    <dataValidation type="list" allowBlank="1" showInputMessage="1" showErrorMessage="1" sqref="C74">
      <formula1>$D$87:$D$93</formula1>
    </dataValidation>
    <dataValidation type="list" allowBlank="1" showInputMessage="1" showErrorMessage="1" sqref="C76">
      <formula1>$D$103:$D$108</formula1>
    </dataValidation>
    <dataValidation type="list" allowBlank="1" showInputMessage="1" showErrorMessage="1" sqref="C78">
      <formula1>$D$118:$D$121</formula1>
    </dataValidation>
  </dataValidation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rgb="FFFFFF00"/>
  </sheetPr>
  <dimension ref="A1:R221"/>
  <sheetViews>
    <sheetView zoomScale="90" zoomScaleNormal="90" workbookViewId="0"/>
  </sheetViews>
  <sheetFormatPr baseColWidth="10" defaultColWidth="9.140625" defaultRowHeight="15" customHeight="1"/>
  <cols>
    <col min="1" max="1" width="3.7109375" style="1118" customWidth="1"/>
    <col min="2" max="2" width="19.140625" style="1154" customWidth="1"/>
    <col min="3" max="3" width="14" style="1154" customWidth="1"/>
    <col min="4" max="4" width="12.140625" style="1154" bestFit="1" customWidth="1"/>
    <col min="5" max="5" width="24.7109375" style="1154" customWidth="1"/>
    <col min="6" max="6" width="26.5703125" style="1154" customWidth="1"/>
    <col min="7" max="7" width="21" style="1154" customWidth="1"/>
    <col min="8" max="9" width="12.140625" style="1154" customWidth="1"/>
    <col min="10" max="10" width="15.28515625" style="1154" customWidth="1"/>
    <col min="11" max="11" width="12.140625" style="1154" customWidth="1"/>
    <col min="12" max="12" width="14.5703125" style="1154" customWidth="1"/>
    <col min="13" max="13" width="8" style="1154" bestFit="1" customWidth="1"/>
    <col min="14" max="16384" width="9.140625" style="1154"/>
  </cols>
  <sheetData>
    <row r="1" spans="2:18" ht="17.25" customHeight="1"/>
    <row r="5" spans="2:18" ht="21">
      <c r="B5" s="1158" t="s">
        <v>718</v>
      </c>
    </row>
    <row r="6" spans="2:18">
      <c r="B6" s="1233" t="s">
        <v>755</v>
      </c>
    </row>
    <row r="7" spans="2:18" ht="15" customHeight="1">
      <c r="B7" s="1190" t="s">
        <v>30</v>
      </c>
    </row>
    <row r="10" spans="2:18" ht="15" customHeight="1">
      <c r="B10" s="1882" t="s">
        <v>707</v>
      </c>
      <c r="C10" s="1621"/>
      <c r="D10" s="1621"/>
      <c r="E10" s="1621"/>
      <c r="F10" s="1621"/>
      <c r="G10" s="1621"/>
      <c r="H10" s="1621"/>
      <c r="I10" s="1621"/>
      <c r="J10" s="1622"/>
    </row>
    <row r="11" spans="2:18" ht="15" customHeight="1">
      <c r="B11" s="1883" t="s">
        <v>708</v>
      </c>
      <c r="C11" s="1118"/>
      <c r="D11" s="1118"/>
      <c r="E11" s="1118"/>
      <c r="F11" s="1118"/>
      <c r="G11" s="1118"/>
      <c r="H11" s="1118"/>
      <c r="I11" s="1118"/>
      <c r="J11" s="1294"/>
      <c r="R11" s="1117"/>
    </row>
    <row r="12" spans="2:18" ht="15" customHeight="1">
      <c r="B12" s="1279" t="s">
        <v>729</v>
      </c>
      <c r="C12" s="1118"/>
      <c r="D12" s="1118"/>
      <c r="E12" s="1118"/>
      <c r="F12" s="1118"/>
      <c r="G12" s="1118"/>
      <c r="H12" s="1118"/>
      <c r="I12" s="1118"/>
      <c r="J12" s="1294"/>
      <c r="R12" s="1117"/>
    </row>
    <row r="13" spans="2:18" ht="15" customHeight="1">
      <c r="B13" s="1829" t="s">
        <v>617</v>
      </c>
      <c r="C13" s="1118"/>
      <c r="D13" s="1118"/>
      <c r="E13" s="1118"/>
      <c r="F13" s="1118"/>
      <c r="G13" s="1118"/>
      <c r="H13" s="1118"/>
      <c r="I13" s="1118"/>
      <c r="J13" s="1294"/>
      <c r="R13" s="1117"/>
    </row>
    <row r="14" spans="2:18" ht="15" customHeight="1">
      <c r="B14" s="1829" t="s">
        <v>706</v>
      </c>
      <c r="C14" s="1118"/>
      <c r="D14" s="1118"/>
      <c r="E14" s="1118"/>
      <c r="F14" s="1118"/>
      <c r="G14" s="1118"/>
      <c r="H14" s="1118"/>
      <c r="I14" s="1118"/>
      <c r="J14" s="1294"/>
      <c r="R14" s="1117"/>
    </row>
    <row r="15" spans="2:18" ht="15" customHeight="1">
      <c r="B15" s="1293" t="s">
        <v>231</v>
      </c>
      <c r="C15" s="1196"/>
      <c r="D15" s="1196"/>
      <c r="E15" s="1196"/>
      <c r="F15" s="1196"/>
      <c r="G15" s="1196"/>
      <c r="H15" s="1196"/>
      <c r="I15" s="1196"/>
      <c r="J15" s="1624"/>
    </row>
    <row r="17" spans="2:14" ht="21">
      <c r="B17" s="1158" t="s">
        <v>615</v>
      </c>
    </row>
    <row r="18" spans="2:14" ht="15" customHeight="1">
      <c r="B18" s="112"/>
      <c r="C18" s="113"/>
      <c r="D18" s="113"/>
      <c r="E18" s="113"/>
      <c r="F18" s="113"/>
      <c r="G18" s="113"/>
      <c r="H18" s="113"/>
      <c r="I18" s="113"/>
      <c r="J18" s="114"/>
    </row>
    <row r="19" spans="2:14" ht="15" customHeight="1">
      <c r="B19" s="797" t="s">
        <v>607</v>
      </c>
      <c r="C19" s="115" t="s">
        <v>717</v>
      </c>
      <c r="D19" s="154"/>
      <c r="E19" s="115"/>
      <c r="F19" s="115" t="s">
        <v>730</v>
      </c>
      <c r="G19" s="318"/>
      <c r="H19" s="88"/>
      <c r="I19" s="25"/>
      <c r="J19" s="43"/>
    </row>
    <row r="20" spans="2:14" ht="15" customHeight="1">
      <c r="B20" s="1304">
        <v>41869</v>
      </c>
      <c r="C20" s="1304">
        <v>42298</v>
      </c>
      <c r="D20" s="154"/>
      <c r="E20" s="169"/>
      <c r="F20" s="1885" t="e">
        <f ca="1">_xll.BCOUNTPERIODS(B20,C20)</f>
        <v>#NAME?</v>
      </c>
      <c r="G20" s="318" t="s">
        <v>204</v>
      </c>
      <c r="H20" s="25"/>
      <c r="I20" s="25"/>
      <c r="J20" s="43"/>
    </row>
    <row r="21" spans="2:14" ht="15" customHeight="1">
      <c r="B21" s="148"/>
      <c r="C21" s="35"/>
      <c r="D21" s="35"/>
      <c r="E21" s="35"/>
      <c r="F21" s="149"/>
      <c r="G21" s="149"/>
      <c r="H21" s="35"/>
      <c r="I21" s="35"/>
      <c r="J21" s="44"/>
    </row>
    <row r="22" spans="2:14" ht="15" customHeight="1">
      <c r="B22" s="1895"/>
      <c r="C22" s="25"/>
      <c r="D22" s="25"/>
      <c r="E22" s="25"/>
      <c r="F22" s="72"/>
      <c r="G22" s="72"/>
      <c r="H22" s="25"/>
      <c r="I22" s="25"/>
      <c r="J22" s="43"/>
    </row>
    <row r="23" spans="2:14" ht="15" customHeight="1">
      <c r="B23" s="112"/>
      <c r="C23" s="113"/>
      <c r="D23" s="113"/>
      <c r="E23" s="113"/>
      <c r="F23" s="113"/>
      <c r="G23" s="113"/>
      <c r="H23" s="113"/>
      <c r="I23" s="113"/>
      <c r="J23" s="114"/>
    </row>
    <row r="24" spans="2:14" ht="15" customHeight="1">
      <c r="B24" s="797" t="s">
        <v>607</v>
      </c>
      <c r="C24" s="115" t="s">
        <v>717</v>
      </c>
      <c r="D24" s="115" t="s">
        <v>614</v>
      </c>
      <c r="E24" s="336" t="s">
        <v>990</v>
      </c>
      <c r="F24" s="115" t="s">
        <v>730</v>
      </c>
      <c r="G24" s="318"/>
      <c r="H24" s="25"/>
      <c r="I24" s="25"/>
      <c r="J24" s="43"/>
    </row>
    <row r="25" spans="2:14" ht="15" customHeight="1">
      <c r="B25" s="1304">
        <v>41680</v>
      </c>
      <c r="C25" s="1304">
        <v>41912</v>
      </c>
      <c r="D25" s="1304" t="s">
        <v>613</v>
      </c>
      <c r="E25" s="25"/>
      <c r="F25" s="1885" t="e">
        <f ca="1">_xll.BCOUNTPERIODS(B25,C25,D25)</f>
        <v>#NAME?</v>
      </c>
      <c r="G25" s="318" t="s">
        <v>205</v>
      </c>
      <c r="H25" s="25"/>
      <c r="I25" s="25"/>
      <c r="J25" s="43"/>
    </row>
    <row r="26" spans="2:14" ht="15" customHeight="1">
      <c r="B26" s="789"/>
      <c r="C26" s="35"/>
      <c r="D26" s="35"/>
      <c r="E26" s="35"/>
      <c r="F26" s="35"/>
      <c r="G26" s="35"/>
      <c r="H26" s="35"/>
      <c r="I26" s="35"/>
      <c r="J26" s="44"/>
    </row>
    <row r="27" spans="2:14" ht="15" customHeight="1">
      <c r="B27" s="1118"/>
      <c r="C27" s="1118"/>
      <c r="D27" s="1118"/>
      <c r="E27" s="1118"/>
      <c r="F27" s="1118"/>
      <c r="G27" s="1118"/>
      <c r="H27" s="1118"/>
      <c r="I27" s="1118"/>
      <c r="J27" s="1118"/>
    </row>
    <row r="28" spans="2:14" ht="15" customHeight="1">
      <c r="B28" s="1892" t="s">
        <v>1862</v>
      </c>
      <c r="C28" s="113"/>
      <c r="D28" s="113"/>
      <c r="E28" s="113"/>
      <c r="F28" s="113"/>
      <c r="G28" s="113"/>
      <c r="H28" s="335"/>
      <c r="I28" s="113"/>
      <c r="J28" s="114"/>
    </row>
    <row r="29" spans="2:14" ht="15" customHeight="1">
      <c r="B29" s="82"/>
      <c r="C29" s="154"/>
      <c r="D29" s="115" t="s">
        <v>608</v>
      </c>
      <c r="E29" s="154"/>
      <c r="F29" s="115" t="s">
        <v>722</v>
      </c>
      <c r="G29" s="115" t="s">
        <v>711</v>
      </c>
      <c r="H29" s="115" t="s">
        <v>710</v>
      </c>
      <c r="I29" s="154"/>
      <c r="J29" s="43"/>
    </row>
    <row r="30" spans="2:14" ht="15" customHeight="1">
      <c r="B30" s="797" t="s">
        <v>422</v>
      </c>
      <c r="C30" s="154"/>
      <c r="D30" s="115" t="s">
        <v>611</v>
      </c>
      <c r="E30" s="154"/>
      <c r="F30" s="115"/>
      <c r="G30" s="25" t="s">
        <v>721</v>
      </c>
      <c r="H30" s="115" t="s">
        <v>731</v>
      </c>
      <c r="I30" s="115" t="s">
        <v>724</v>
      </c>
      <c r="J30" s="43"/>
    </row>
    <row r="31" spans="2:14" ht="15" customHeight="1">
      <c r="B31" s="82"/>
      <c r="C31" s="115"/>
      <c r="D31" s="154"/>
      <c r="E31" s="154"/>
      <c r="F31" s="115"/>
      <c r="G31" s="115" t="s">
        <v>720</v>
      </c>
      <c r="H31" s="115"/>
      <c r="I31" s="923" t="s">
        <v>1868</v>
      </c>
      <c r="J31" s="43"/>
      <c r="L31" s="1896"/>
      <c r="M31" s="1897"/>
      <c r="N31" s="1897"/>
    </row>
    <row r="32" spans="2:14" ht="15" customHeight="1">
      <c r="B32" s="1304" t="e">
        <f ca="1">_xll.BToday()</f>
        <v>#NAME?</v>
      </c>
      <c r="C32" s="1849" t="s">
        <v>723</v>
      </c>
      <c r="D32" s="1893">
        <v>2</v>
      </c>
      <c r="E32" s="1899" t="e">
        <f ca="1">_xll.BADDPERIODS(B32,C32,"numberofperiods="&amp;D32,"Per=wd")</f>
        <v>#NAME?</v>
      </c>
      <c r="F32" s="1304" t="e">
        <f ca="1">_xll.BToday()+1</f>
        <v>#NAME?</v>
      </c>
      <c r="G32" s="1581" t="s">
        <v>732</v>
      </c>
      <c r="H32" s="1581" t="s">
        <v>1866</v>
      </c>
      <c r="I32" s="1891" t="e">
        <f ca="1">_xll.BCOUNTPERIODS($E$32,F32,G32,H32)</f>
        <v>#NAME?</v>
      </c>
      <c r="J32" s="43"/>
    </row>
    <row r="33" spans="2:12" ht="15" customHeight="1">
      <c r="B33" s="118"/>
      <c r="C33" s="221"/>
      <c r="D33" s="154"/>
      <c r="E33" s="154"/>
      <c r="F33" s="1304">
        <v>42611</v>
      </c>
      <c r="G33" s="1581" t="s">
        <v>732</v>
      </c>
      <c r="H33" s="1581" t="s">
        <v>1866</v>
      </c>
      <c r="I33" s="1891" t="e">
        <f ca="1">_xll.BCOUNTPERIODS($E$32,F33,G33,H33)</f>
        <v>#NAME?</v>
      </c>
      <c r="J33" s="43"/>
    </row>
    <row r="34" spans="2:12" ht="15" customHeight="1">
      <c r="B34" s="2016" t="s">
        <v>1908</v>
      </c>
      <c r="C34" s="221"/>
      <c r="D34" s="154"/>
      <c r="E34" s="154"/>
      <c r="F34" s="1304">
        <v>42618</v>
      </c>
      <c r="G34" s="1581" t="s">
        <v>732</v>
      </c>
      <c r="H34" s="1581" t="s">
        <v>1866</v>
      </c>
      <c r="I34" s="1891" t="e">
        <f ca="1">_xll.BCOUNTPERIODS($E$32,F34,G34,H34)</f>
        <v>#NAME?</v>
      </c>
      <c r="J34" s="43"/>
    </row>
    <row r="35" spans="2:12" ht="15" customHeight="1">
      <c r="B35" s="2016" t="s">
        <v>1909</v>
      </c>
      <c r="C35" s="221"/>
      <c r="D35" s="154"/>
      <c r="E35" s="154"/>
      <c r="F35" s="1304">
        <v>42625</v>
      </c>
      <c r="G35" s="1581" t="s">
        <v>732</v>
      </c>
      <c r="H35" s="1581" t="s">
        <v>1866</v>
      </c>
      <c r="I35" s="1891" t="e">
        <f ca="1">_xll.BCOUNTPERIODS($E$32,F35,G35,H35)</f>
        <v>#NAME?</v>
      </c>
      <c r="J35" s="43"/>
    </row>
    <row r="36" spans="2:12" ht="15" customHeight="1">
      <c r="B36" s="2016" t="s">
        <v>1912</v>
      </c>
      <c r="C36" s="221"/>
      <c r="D36" s="154"/>
      <c r="E36" s="154"/>
      <c r="F36" s="1304">
        <v>42635</v>
      </c>
      <c r="G36" s="1581" t="s">
        <v>728</v>
      </c>
      <c r="H36" s="1581" t="s">
        <v>1866</v>
      </c>
      <c r="I36" s="1891" t="e">
        <f ca="1">_xll.BCOUNTPERIODS($E$32,F36,G36,H36)</f>
        <v>#NAME?</v>
      </c>
      <c r="J36" s="43"/>
    </row>
    <row r="37" spans="2:12" ht="15" customHeight="1">
      <c r="B37" s="116"/>
      <c r="C37" s="221"/>
      <c r="D37" s="154"/>
      <c r="E37" s="154"/>
      <c r="F37" s="1304">
        <v>43011</v>
      </c>
      <c r="G37" s="1581" t="s">
        <v>728</v>
      </c>
      <c r="H37" s="1581" t="s">
        <v>1866</v>
      </c>
      <c r="I37" s="1891" t="e">
        <f ca="1">_xll.BCOUNTPERIODS($E$32,F37,G37,H37)</f>
        <v>#NAME?</v>
      </c>
      <c r="J37" s="43"/>
      <c r="L37" s="435"/>
    </row>
    <row r="38" spans="2:12" ht="15" customHeight="1">
      <c r="B38" s="116"/>
      <c r="C38" s="221"/>
      <c r="D38" s="154"/>
      <c r="E38" s="154"/>
      <c r="F38" s="1304">
        <v>43387</v>
      </c>
      <c r="G38" s="1581" t="s">
        <v>728</v>
      </c>
      <c r="H38" s="1581" t="s">
        <v>1866</v>
      </c>
      <c r="I38" s="1891" t="e">
        <f ca="1">_xll.BCOUNTPERIODS($E$32,F38,G38,H38)</f>
        <v>#NAME?</v>
      </c>
      <c r="J38" s="43"/>
    </row>
    <row r="39" spans="2:12" ht="15" customHeight="1">
      <c r="B39" s="116"/>
      <c r="C39" s="221"/>
      <c r="D39" s="154"/>
      <c r="E39" s="154"/>
      <c r="F39" s="1304">
        <v>43763</v>
      </c>
      <c r="G39" s="1581" t="s">
        <v>728</v>
      </c>
      <c r="H39" s="1581" t="s">
        <v>1866</v>
      </c>
      <c r="I39" s="1891" t="e">
        <f ca="1">_xll.BCOUNTPERIODS($E$32,F39,G39,H39)</f>
        <v>#NAME?</v>
      </c>
      <c r="J39" s="43"/>
      <c r="K39" s="1117" t="s">
        <v>1910</v>
      </c>
    </row>
    <row r="40" spans="2:12" ht="15" customHeight="1">
      <c r="B40" s="116"/>
      <c r="C40" s="221"/>
      <c r="D40" s="154"/>
      <c r="E40" s="154"/>
      <c r="F40" s="1304">
        <v>44139</v>
      </c>
      <c r="G40" s="1581" t="s">
        <v>728</v>
      </c>
      <c r="H40" s="1581" t="s">
        <v>1866</v>
      </c>
      <c r="I40" s="1891" t="e">
        <f ca="1">_xll.BCOUNTPERIODS($E$32,F40,G40,H40)</f>
        <v>#NAME?</v>
      </c>
      <c r="J40" s="43"/>
    </row>
    <row r="41" spans="2:12" ht="15" customHeight="1">
      <c r="B41" s="116"/>
      <c r="C41" s="221"/>
      <c r="D41" s="154"/>
      <c r="E41" s="154"/>
      <c r="F41" s="1304">
        <v>44515</v>
      </c>
      <c r="G41" s="1581" t="s">
        <v>728</v>
      </c>
      <c r="H41" s="1581" t="s">
        <v>1869</v>
      </c>
      <c r="I41" s="1894" t="e">
        <f ca="1">_xll.BCOUNTPERIODS($E$32,F41,G41,H41)</f>
        <v>#NAME?</v>
      </c>
      <c r="J41" s="43"/>
    </row>
    <row r="42" spans="2:12" ht="15" customHeight="1">
      <c r="B42" s="116"/>
      <c r="C42" s="221"/>
      <c r="D42" s="154"/>
      <c r="E42" s="154"/>
      <c r="F42" s="1304">
        <v>44891</v>
      </c>
      <c r="G42" s="1581" t="s">
        <v>728</v>
      </c>
      <c r="H42" s="1581" t="s">
        <v>1869</v>
      </c>
      <c r="I42" s="1894" t="e">
        <f ca="1">_xll.BCOUNTPERIODS($E$32,F42,G42,H42)</f>
        <v>#NAME?</v>
      </c>
      <c r="J42" s="43"/>
    </row>
    <row r="43" spans="2:12" ht="15" customHeight="1">
      <c r="B43" s="116"/>
      <c r="C43" s="221"/>
      <c r="D43" s="154"/>
      <c r="E43" s="154"/>
      <c r="F43" s="1304">
        <v>45267</v>
      </c>
      <c r="G43" s="1581" t="s">
        <v>728</v>
      </c>
      <c r="H43" s="1581" t="s">
        <v>1869</v>
      </c>
      <c r="I43" s="1894" t="e">
        <f ca="1">_xll.BCOUNTPERIODS($E$32,F43,G43,H43)</f>
        <v>#NAME?</v>
      </c>
      <c r="J43" s="43"/>
    </row>
    <row r="44" spans="2:12" ht="15" customHeight="1">
      <c r="B44" s="82"/>
      <c r="C44" s="25"/>
      <c r="D44" s="25"/>
      <c r="E44" s="25"/>
      <c r="F44" s="25"/>
      <c r="G44" s="25"/>
      <c r="H44" s="25"/>
      <c r="I44" s="154"/>
      <c r="J44" s="43"/>
    </row>
    <row r="45" spans="2:12" ht="15" customHeight="1">
      <c r="B45" s="82"/>
      <c r="C45" s="25"/>
      <c r="D45" s="25"/>
      <c r="E45" s="25"/>
      <c r="F45" s="25"/>
      <c r="G45" s="25"/>
      <c r="H45" s="25"/>
      <c r="I45" s="25"/>
      <c r="J45" s="43"/>
      <c r="K45" s="1118"/>
    </row>
    <row r="46" spans="2:12" s="1830" customFormat="1" ht="15" customHeight="1">
      <c r="B46" s="1900"/>
      <c r="C46" s="185"/>
      <c r="D46" s="185"/>
      <c r="E46" s="185"/>
      <c r="F46" s="185"/>
      <c r="G46" s="185"/>
      <c r="H46" s="185"/>
      <c r="I46" s="185"/>
      <c r="J46" s="186"/>
      <c r="K46" s="1119"/>
    </row>
    <row r="47" spans="2:12" s="1830" customFormat="1" ht="15" customHeight="1">
      <c r="K47" s="1119"/>
    </row>
    <row r="48" spans="2:12" s="1830" customFormat="1" ht="15" customHeight="1">
      <c r="K48" s="1119"/>
    </row>
    <row r="49" spans="2:11" s="1830" customFormat="1" ht="15" customHeight="1">
      <c r="B49" s="301" t="s">
        <v>1913</v>
      </c>
      <c r="C49" s="113"/>
      <c r="D49" s="113"/>
      <c r="E49" s="113"/>
      <c r="F49" s="113"/>
      <c r="G49" s="1869"/>
      <c r="H49" s="1869"/>
      <c r="I49" s="1869"/>
      <c r="J49" s="114"/>
      <c r="K49" s="1119"/>
    </row>
    <row r="50" spans="2:11" s="1830" customFormat="1" ht="15" customHeight="1">
      <c r="B50" s="740"/>
      <c r="C50" s="25"/>
      <c r="D50" s="25"/>
      <c r="E50" s="25"/>
      <c r="F50" s="115" t="s">
        <v>711</v>
      </c>
      <c r="G50" s="1870"/>
      <c r="H50" s="1898" t="s">
        <v>1865</v>
      </c>
      <c r="I50" s="1870"/>
      <c r="J50" s="43"/>
      <c r="K50" s="1119"/>
    </row>
    <row r="51" spans="2:11" s="1830" customFormat="1" ht="15" customHeight="1">
      <c r="B51" s="45" t="s">
        <v>607</v>
      </c>
      <c r="C51" s="1868" t="s">
        <v>390</v>
      </c>
      <c r="D51" s="25"/>
      <c r="E51" s="1868" t="s">
        <v>722</v>
      </c>
      <c r="F51" s="25" t="s">
        <v>721</v>
      </c>
      <c r="G51" s="1868" t="s">
        <v>710</v>
      </c>
      <c r="H51" s="1868" t="s">
        <v>724</v>
      </c>
      <c r="I51" s="1870"/>
      <c r="J51" s="43"/>
      <c r="K51" s="1119"/>
    </row>
    <row r="52" spans="2:11" s="1830" customFormat="1" ht="15" customHeight="1">
      <c r="B52" s="337"/>
      <c r="C52" s="119"/>
      <c r="D52" s="25"/>
      <c r="E52" s="115"/>
      <c r="F52" s="115" t="s">
        <v>720</v>
      </c>
      <c r="G52" s="1868" t="s">
        <v>395</v>
      </c>
      <c r="H52" s="2305" t="s">
        <v>712</v>
      </c>
      <c r="I52" s="1870"/>
      <c r="J52" s="43"/>
      <c r="K52" s="1119"/>
    </row>
    <row r="53" spans="2:11" s="1830" customFormat="1" ht="15" customHeight="1">
      <c r="B53" s="1304">
        <v>42779</v>
      </c>
      <c r="C53" s="1901" t="s">
        <v>2169</v>
      </c>
      <c r="D53" s="1904" t="s">
        <v>1867</v>
      </c>
      <c r="E53" s="1304">
        <v>43262</v>
      </c>
      <c r="F53" s="1581" t="s">
        <v>732</v>
      </c>
      <c r="G53" s="1740" t="s">
        <v>1864</v>
      </c>
      <c r="H53" s="220" t="e">
        <f ca="1">_xll.BCOUNTPERIODS($B$53,$E53,F53,G53,$C$53)</f>
        <v>#NAME?</v>
      </c>
      <c r="I53" s="450"/>
      <c r="J53" s="43"/>
      <c r="K53" s="1119"/>
    </row>
    <row r="54" spans="2:11" s="1830" customFormat="1" ht="15" customHeight="1">
      <c r="B54" s="1902" t="s">
        <v>1870</v>
      </c>
      <c r="C54" s="169"/>
      <c r="D54" s="1904" t="s">
        <v>1871</v>
      </c>
      <c r="E54" s="1304">
        <v>43262</v>
      </c>
      <c r="F54" s="1581" t="s">
        <v>732</v>
      </c>
      <c r="G54" s="1304" t="s">
        <v>396</v>
      </c>
      <c r="H54" s="220" t="e">
        <f ca="1">_xll.BCOUNTPERIODS($B$53,$E54,F54,G54,$C$53)</f>
        <v>#NAME?</v>
      </c>
      <c r="I54" s="119"/>
      <c r="J54" s="43"/>
      <c r="K54" s="1119"/>
    </row>
    <row r="55" spans="2:11" s="1830" customFormat="1" ht="15" customHeight="1">
      <c r="B55" s="1903" t="s">
        <v>1870</v>
      </c>
      <c r="C55" s="449"/>
      <c r="D55" s="2020" t="s">
        <v>1872</v>
      </c>
      <c r="E55" s="1304">
        <v>43262</v>
      </c>
      <c r="F55" s="1581" t="s">
        <v>732</v>
      </c>
      <c r="G55" s="1304" t="s">
        <v>394</v>
      </c>
      <c r="H55" s="2308" t="e">
        <f ca="1">_xll.BCOUNTPERIODS($B$53,$E55,F55,G55,$C$53)</f>
        <v>#NAME?</v>
      </c>
      <c r="I55" s="185"/>
      <c r="J55" s="44"/>
      <c r="K55" s="1119"/>
    </row>
    <row r="57" spans="2:11" ht="21">
      <c r="B57" s="1158" t="s">
        <v>664</v>
      </c>
      <c r="C57" s="1884"/>
      <c r="D57" s="1884"/>
      <c r="E57" s="1884"/>
      <c r="F57" s="1884"/>
      <c r="G57" s="1884"/>
      <c r="H57" s="1884"/>
      <c r="I57" s="1118"/>
      <c r="J57" s="1118"/>
      <c r="K57" s="1118"/>
    </row>
    <row r="58" spans="2:11" ht="15" customHeight="1">
      <c r="B58" s="1034" t="s">
        <v>616</v>
      </c>
      <c r="C58" s="171"/>
      <c r="D58" s="171"/>
      <c r="E58" s="171"/>
      <c r="F58" s="171"/>
      <c r="G58" s="171"/>
      <c r="H58" s="171"/>
      <c r="I58" s="113"/>
      <c r="J58" s="114"/>
      <c r="K58" s="1118"/>
    </row>
    <row r="59" spans="2:11" ht="15" customHeight="1">
      <c r="B59" s="1035" t="s">
        <v>1863</v>
      </c>
      <c r="C59" s="155"/>
      <c r="D59" s="155"/>
      <c r="E59" s="155"/>
      <c r="F59" s="155"/>
      <c r="G59" s="155"/>
      <c r="H59" s="155"/>
      <c r="I59" s="25"/>
      <c r="J59" s="43"/>
      <c r="K59" s="1118"/>
    </row>
    <row r="60" spans="2:11" ht="15" customHeight="1">
      <c r="B60" s="172" t="s">
        <v>621</v>
      </c>
      <c r="C60" s="155"/>
      <c r="D60" s="155"/>
      <c r="E60" s="439" t="s">
        <v>719</v>
      </c>
      <c r="F60" s="155"/>
      <c r="G60" s="155"/>
      <c r="H60" s="25"/>
      <c r="I60" s="25"/>
      <c r="J60" s="43"/>
      <c r="K60" s="1118"/>
    </row>
    <row r="61" spans="2:11" ht="15" customHeight="1">
      <c r="B61" s="1036" t="s">
        <v>619</v>
      </c>
      <c r="C61" s="1037" t="s">
        <v>620</v>
      </c>
      <c r="D61" s="155"/>
      <c r="E61" s="578" t="e">
        <f ca="1">_xll.BCOUNTPERIODS(C62,C63,E65,E67,E66,E68)</f>
        <v>#NAME?</v>
      </c>
      <c r="F61" s="155"/>
      <c r="G61" s="155"/>
      <c r="H61" s="25"/>
      <c r="I61" s="25"/>
      <c r="J61" s="43"/>
      <c r="K61" s="1118"/>
    </row>
    <row r="62" spans="2:11" ht="15" customHeight="1">
      <c r="B62" s="173" t="s">
        <v>622</v>
      </c>
      <c r="C62" s="1886">
        <v>41504</v>
      </c>
      <c r="D62" s="156"/>
      <c r="E62" s="130"/>
      <c r="F62" s="155"/>
      <c r="G62" s="155"/>
      <c r="H62" s="25"/>
      <c r="I62" s="25"/>
      <c r="J62" s="43"/>
      <c r="K62" s="1118"/>
    </row>
    <row r="63" spans="2:11" ht="15" customHeight="1">
      <c r="B63" s="174" t="s">
        <v>623</v>
      </c>
      <c r="C63" s="1887">
        <v>41933</v>
      </c>
      <c r="D63" s="155"/>
      <c r="E63" s="157"/>
      <c r="F63" s="155"/>
      <c r="G63" s="155"/>
      <c r="H63" s="25"/>
      <c r="I63" s="25"/>
      <c r="J63" s="43"/>
      <c r="K63" s="1118"/>
    </row>
    <row r="64" spans="2:11" ht="15" customHeight="1">
      <c r="B64" s="172" t="s">
        <v>626</v>
      </c>
      <c r="C64" s="158"/>
      <c r="D64" s="155"/>
      <c r="E64" s="1038" t="s">
        <v>625</v>
      </c>
      <c r="F64" s="1039" t="s">
        <v>624</v>
      </c>
      <c r="G64" s="25"/>
      <c r="H64" s="25"/>
      <c r="I64" s="25"/>
      <c r="J64" s="43"/>
      <c r="K64" s="1118"/>
    </row>
    <row r="65" spans="2:11" ht="15" customHeight="1">
      <c r="B65" s="173" t="s">
        <v>627</v>
      </c>
      <c r="C65" s="1890" t="s">
        <v>628</v>
      </c>
      <c r="D65" s="159" t="s">
        <v>629</v>
      </c>
      <c r="E65" s="160" t="str">
        <f>B65 &amp; "=" &amp;  (INDEX(C75:C78,MATCH(C65,D75:D78,FALSE),1))</f>
        <v>Per=y</v>
      </c>
      <c r="F65" s="2422" t="str">
        <f>"=BCountPeriods("&amp;TEXT(C62,"dd-mmm-yy")&amp;", " &amp;TEXT(C63,"dd-mmm-yy") &amp;" ,"&amp;E65&amp;", "&amp;E66&amp;", " &amp;E67&amp;", " &amp;E68&amp;")"</f>
        <v>=BCountPeriods(18-Aug-13, 21-Oct-14 ,Per=y, DCB=ICMA_AA, CDR=TE, NonWorkingDays=SAT SUN)</v>
      </c>
      <c r="G65" s="25"/>
      <c r="H65" s="25"/>
      <c r="I65" s="25"/>
      <c r="J65" s="43"/>
      <c r="K65" s="1118"/>
    </row>
    <row r="66" spans="2:11" ht="15" customHeight="1">
      <c r="B66" s="175" t="s">
        <v>630</v>
      </c>
      <c r="C66" s="1888" t="s">
        <v>631</v>
      </c>
      <c r="D66" s="161" t="s">
        <v>629</v>
      </c>
      <c r="E66" s="160" t="str">
        <f>B66 &amp; "=" &amp; INDEX(C82:C85,MATCH(C66,D82:D85,FALSE),1)</f>
        <v>DCB=ICMA_AA</v>
      </c>
      <c r="F66" s="2423"/>
      <c r="G66" s="25"/>
      <c r="H66" s="25"/>
      <c r="I66" s="25"/>
      <c r="J66" s="43"/>
      <c r="K66" s="1118"/>
    </row>
    <row r="67" spans="2:11" ht="15" customHeight="1">
      <c r="B67" s="175" t="s">
        <v>632</v>
      </c>
      <c r="C67" s="1888" t="s">
        <v>633</v>
      </c>
      <c r="D67" s="161" t="s">
        <v>629</v>
      </c>
      <c r="E67" s="160" t="str">
        <f>B67&amp; "=" &amp;C67</f>
        <v>CDR=TE</v>
      </c>
      <c r="F67" s="2423"/>
      <c r="G67" s="25"/>
      <c r="H67" s="25"/>
      <c r="I67" s="25"/>
      <c r="J67" s="43"/>
      <c r="K67" s="1118"/>
    </row>
    <row r="68" spans="2:11" ht="15" customHeight="1">
      <c r="B68" s="174" t="s">
        <v>634</v>
      </c>
      <c r="C68" s="1889" t="s">
        <v>635</v>
      </c>
      <c r="D68" s="161" t="s">
        <v>629</v>
      </c>
      <c r="E68" s="162" t="str">
        <f>B68&amp;"="&amp;C68</f>
        <v>NonWorkingDays=SAT SUN</v>
      </c>
      <c r="F68" s="2424"/>
      <c r="G68" s="25"/>
      <c r="H68" s="25"/>
      <c r="I68" s="25"/>
      <c r="J68" s="43"/>
      <c r="K68" s="1118"/>
    </row>
    <row r="69" spans="2:11" ht="15" customHeight="1">
      <c r="B69" s="176"/>
      <c r="C69" s="14"/>
      <c r="D69" s="14"/>
      <c r="E69" s="14"/>
      <c r="F69" s="14"/>
      <c r="G69" s="155"/>
      <c r="H69" s="163"/>
      <c r="I69" s="25"/>
      <c r="J69" s="43"/>
      <c r="K69" s="1118"/>
    </row>
    <row r="70" spans="2:11" ht="15" customHeight="1">
      <c r="B70" s="172"/>
      <c r="C70" s="155"/>
      <c r="D70" s="155"/>
      <c r="E70" s="155"/>
      <c r="F70" s="155"/>
      <c r="G70" s="155"/>
      <c r="H70" s="155"/>
      <c r="I70" s="25"/>
      <c r="J70" s="43"/>
      <c r="K70" s="1118"/>
    </row>
    <row r="71" spans="2:11" ht="15" customHeight="1">
      <c r="B71" s="177" t="s">
        <v>636</v>
      </c>
      <c r="C71" s="165"/>
      <c r="D71" s="155"/>
      <c r="E71" s="155"/>
      <c r="F71" s="155"/>
      <c r="G71" s="155"/>
      <c r="H71" s="155"/>
      <c r="I71" s="25"/>
      <c r="J71" s="43"/>
      <c r="K71" s="1118"/>
    </row>
    <row r="72" spans="2:11" ht="15" customHeight="1">
      <c r="B72" s="177"/>
      <c r="C72" s="165"/>
      <c r="D72" s="155"/>
      <c r="E72" s="155"/>
      <c r="F72" s="155"/>
      <c r="G72" s="155"/>
      <c r="H72" s="155"/>
      <c r="I72" s="25"/>
      <c r="J72" s="43"/>
      <c r="K72" s="1118"/>
    </row>
    <row r="73" spans="2:11" ht="15" customHeight="1">
      <c r="B73" s="2017" t="s">
        <v>627</v>
      </c>
      <c r="C73" s="165" t="s">
        <v>647</v>
      </c>
      <c r="D73" s="155"/>
      <c r="E73" s="155"/>
      <c r="F73" s="155"/>
      <c r="G73" s="155"/>
      <c r="H73" s="155"/>
      <c r="I73" s="25"/>
      <c r="J73" s="43"/>
      <c r="K73" s="1118"/>
    </row>
    <row r="74" spans="2:11" ht="15" customHeight="1">
      <c r="B74" s="2017"/>
      <c r="C74" s="164" t="s">
        <v>648</v>
      </c>
      <c r="D74" s="155"/>
      <c r="E74" s="155"/>
      <c r="F74" s="155"/>
      <c r="G74" s="155"/>
      <c r="H74" s="155"/>
      <c r="I74" s="25"/>
      <c r="J74" s="43"/>
      <c r="K74" s="1118"/>
    </row>
    <row r="75" spans="2:11" ht="15" customHeight="1">
      <c r="B75" s="2017"/>
      <c r="C75" s="166" t="s">
        <v>610</v>
      </c>
      <c r="D75" s="155" t="s">
        <v>628</v>
      </c>
      <c r="E75" s="155"/>
      <c r="F75" s="155"/>
      <c r="G75" s="155"/>
      <c r="H75" s="155"/>
      <c r="I75" s="25"/>
      <c r="J75" s="43"/>
      <c r="K75" s="1118"/>
    </row>
    <row r="76" spans="2:11" ht="15" customHeight="1">
      <c r="B76" s="2017"/>
      <c r="C76" s="166" t="s">
        <v>612</v>
      </c>
      <c r="D76" s="155" t="s">
        <v>637</v>
      </c>
      <c r="E76" s="155"/>
      <c r="F76" s="155"/>
      <c r="G76" s="155"/>
      <c r="H76" s="155"/>
      <c r="I76" s="25"/>
      <c r="J76" s="43"/>
      <c r="K76" s="1118"/>
    </row>
    <row r="77" spans="2:11" ht="15" customHeight="1">
      <c r="B77" s="2017"/>
      <c r="C77" s="166" t="s">
        <v>638</v>
      </c>
      <c r="D77" s="155" t="s">
        <v>639</v>
      </c>
      <c r="E77" s="155"/>
      <c r="F77" s="155"/>
      <c r="G77" s="155"/>
      <c r="H77" s="155"/>
      <c r="I77" s="155"/>
      <c r="J77" s="178"/>
      <c r="K77" s="1118"/>
    </row>
    <row r="78" spans="2:11" ht="15" customHeight="1">
      <c r="B78" s="2018"/>
      <c r="C78" s="166" t="s">
        <v>612</v>
      </c>
      <c r="D78" s="155" t="s">
        <v>640</v>
      </c>
      <c r="E78" s="155"/>
      <c r="F78" s="155"/>
      <c r="G78" s="155"/>
      <c r="H78" s="155"/>
      <c r="I78" s="155"/>
      <c r="J78" s="178"/>
      <c r="K78" s="1118"/>
    </row>
    <row r="79" spans="2:11" ht="15" customHeight="1">
      <c r="B79" s="2018"/>
      <c r="C79" s="14"/>
      <c r="D79" s="14"/>
      <c r="E79" s="155"/>
      <c r="F79" s="155"/>
      <c r="G79" s="155"/>
      <c r="H79" s="155"/>
      <c r="I79" s="155"/>
      <c r="J79" s="178"/>
      <c r="K79" s="1118"/>
    </row>
    <row r="80" spans="2:11" ht="15" customHeight="1">
      <c r="B80" s="2017" t="s">
        <v>630</v>
      </c>
      <c r="C80" s="165" t="s">
        <v>650</v>
      </c>
      <c r="D80" s="155"/>
      <c r="E80" s="155"/>
      <c r="F80" s="155"/>
      <c r="G80" s="155"/>
      <c r="H80" s="155"/>
      <c r="I80" s="155"/>
      <c r="J80" s="178"/>
      <c r="K80" s="1118"/>
    </row>
    <row r="81" spans="2:11" ht="15" customHeight="1">
      <c r="B81" s="2019"/>
      <c r="C81" s="165" t="s">
        <v>649</v>
      </c>
      <c r="D81" s="155"/>
      <c r="E81" s="155"/>
      <c r="F81" s="155"/>
      <c r="G81" s="155"/>
      <c r="H81" s="155"/>
      <c r="I81" s="155"/>
      <c r="J81" s="178"/>
      <c r="K81" s="1118"/>
    </row>
    <row r="82" spans="2:11" ht="15" customHeight="1">
      <c r="B82" s="2017"/>
      <c r="C82" s="166" t="s">
        <v>641</v>
      </c>
      <c r="D82" s="167" t="s">
        <v>631</v>
      </c>
      <c r="E82" s="155"/>
      <c r="F82" s="155"/>
      <c r="G82" s="155"/>
      <c r="H82" s="155"/>
      <c r="I82" s="155"/>
      <c r="J82" s="178"/>
      <c r="K82" s="1118"/>
    </row>
    <row r="83" spans="2:11" ht="15" customHeight="1">
      <c r="B83" s="2017"/>
      <c r="C83" s="166" t="s">
        <v>642</v>
      </c>
      <c r="D83" s="167" t="s">
        <v>643</v>
      </c>
      <c r="E83" s="155"/>
      <c r="F83" s="155"/>
      <c r="G83" s="155"/>
      <c r="H83" s="155"/>
      <c r="I83" s="155"/>
      <c r="J83" s="178"/>
      <c r="K83" s="1118"/>
    </row>
    <row r="84" spans="2:11" ht="15" customHeight="1">
      <c r="B84" s="2017"/>
      <c r="C84" s="166" t="s">
        <v>644</v>
      </c>
      <c r="D84" s="167" t="s">
        <v>645</v>
      </c>
      <c r="E84" s="155"/>
      <c r="F84" s="155"/>
      <c r="G84" s="155"/>
      <c r="H84" s="155"/>
      <c r="I84" s="155"/>
      <c r="J84" s="178"/>
      <c r="K84" s="1118"/>
    </row>
    <row r="85" spans="2:11" ht="15" customHeight="1">
      <c r="B85" s="2017"/>
      <c r="C85" s="166">
        <v>30360</v>
      </c>
      <c r="D85" s="167" t="s">
        <v>646</v>
      </c>
      <c r="E85" s="155"/>
      <c r="F85" s="155"/>
      <c r="G85" s="155"/>
      <c r="H85" s="155"/>
      <c r="I85" s="155"/>
      <c r="J85" s="178"/>
      <c r="K85" s="1118"/>
    </row>
    <row r="86" spans="2:11" ht="15" customHeight="1">
      <c r="B86" s="2017"/>
      <c r="C86" s="165" t="s">
        <v>651</v>
      </c>
      <c r="D86" s="14"/>
      <c r="E86" s="155"/>
      <c r="F86" s="155"/>
      <c r="G86" s="155"/>
      <c r="H86" s="155"/>
      <c r="I86" s="155"/>
      <c r="J86" s="178"/>
      <c r="K86" s="1118"/>
    </row>
    <row r="87" spans="2:11" ht="15" customHeight="1">
      <c r="B87" s="2017"/>
      <c r="C87" s="165" t="s">
        <v>652</v>
      </c>
      <c r="D87" s="167"/>
      <c r="E87" s="155"/>
      <c r="F87" s="155"/>
      <c r="G87" s="155"/>
      <c r="H87" s="155"/>
      <c r="I87" s="155"/>
      <c r="J87" s="178"/>
      <c r="K87" s="1118"/>
    </row>
    <row r="88" spans="2:11" ht="15" customHeight="1">
      <c r="B88" s="2017"/>
      <c r="C88" s="14"/>
      <c r="D88" s="167"/>
      <c r="E88" s="155"/>
      <c r="F88" s="155"/>
      <c r="G88" s="155"/>
      <c r="H88" s="155"/>
      <c r="I88" s="155"/>
      <c r="J88" s="178"/>
      <c r="K88" s="1118"/>
    </row>
    <row r="89" spans="2:11" ht="15" customHeight="1">
      <c r="B89" s="2017" t="s">
        <v>632</v>
      </c>
      <c r="C89" s="165" t="s">
        <v>653</v>
      </c>
      <c r="D89" s="167"/>
      <c r="E89" s="155"/>
      <c r="F89" s="155"/>
      <c r="G89" s="155"/>
      <c r="H89" s="155"/>
      <c r="I89" s="155"/>
      <c r="J89" s="178"/>
      <c r="K89" s="1118"/>
    </row>
    <row r="90" spans="2:11" ht="15" customHeight="1">
      <c r="B90" s="2017"/>
      <c r="C90" s="165" t="s">
        <v>654</v>
      </c>
      <c r="D90" s="155"/>
      <c r="E90" s="155"/>
      <c r="F90" s="155"/>
      <c r="G90" s="155"/>
      <c r="H90" s="155"/>
      <c r="I90" s="155"/>
      <c r="J90" s="178"/>
      <c r="K90" s="1118"/>
    </row>
    <row r="91" spans="2:11" ht="15" customHeight="1">
      <c r="B91" s="2019"/>
      <c r="C91" s="165" t="s">
        <v>656</v>
      </c>
      <c r="D91" s="155"/>
      <c r="E91" s="155"/>
      <c r="F91" s="155"/>
      <c r="G91" s="155"/>
      <c r="H91" s="155"/>
      <c r="I91" s="155"/>
      <c r="J91" s="178"/>
      <c r="K91" s="1118"/>
    </row>
    <row r="92" spans="2:11" ht="15" customHeight="1">
      <c r="B92" s="2017"/>
      <c r="C92" s="165" t="s">
        <v>655</v>
      </c>
      <c r="D92" s="155"/>
      <c r="E92" s="155"/>
      <c r="F92" s="155"/>
      <c r="G92" s="155"/>
      <c r="H92" s="155"/>
      <c r="I92" s="155"/>
      <c r="J92" s="178"/>
      <c r="K92" s="1118"/>
    </row>
    <row r="93" spans="2:11" ht="15" customHeight="1">
      <c r="B93" s="2019"/>
      <c r="C93" s="165"/>
      <c r="D93" s="155"/>
      <c r="E93" s="155"/>
      <c r="F93" s="155"/>
      <c r="G93" s="155"/>
      <c r="H93" s="155"/>
      <c r="I93" s="155"/>
      <c r="J93" s="178"/>
      <c r="K93" s="1118"/>
    </row>
    <row r="94" spans="2:11" ht="15" customHeight="1">
      <c r="B94" s="2017" t="s">
        <v>634</v>
      </c>
      <c r="C94" s="165" t="s">
        <v>657</v>
      </c>
      <c r="D94" s="155"/>
      <c r="E94" s="155"/>
      <c r="F94" s="155"/>
      <c r="G94" s="155"/>
      <c r="H94" s="155"/>
      <c r="I94" s="155"/>
      <c r="J94" s="178"/>
      <c r="K94" s="1118"/>
    </row>
    <row r="95" spans="2:11" ht="15" customHeight="1">
      <c r="B95" s="177"/>
      <c r="C95" s="165" t="s">
        <v>658</v>
      </c>
      <c r="D95" s="155"/>
      <c r="E95" s="155"/>
      <c r="F95" s="155"/>
      <c r="G95" s="155"/>
      <c r="H95" s="155"/>
      <c r="I95" s="155"/>
      <c r="J95" s="178"/>
      <c r="K95" s="1118"/>
    </row>
    <row r="96" spans="2:11" ht="15" customHeight="1">
      <c r="B96" s="172"/>
      <c r="C96" s="165" t="s">
        <v>659</v>
      </c>
      <c r="D96" s="155"/>
      <c r="E96" s="155"/>
      <c r="F96" s="155"/>
      <c r="G96" s="155"/>
      <c r="H96" s="155"/>
      <c r="I96" s="155"/>
      <c r="J96" s="178"/>
      <c r="K96" s="1118"/>
    </row>
    <row r="97" spans="2:11" ht="15" customHeight="1">
      <c r="B97" s="176"/>
      <c r="C97" s="165" t="s">
        <v>660</v>
      </c>
      <c r="D97" s="14"/>
      <c r="E97" s="14"/>
      <c r="F97" s="14"/>
      <c r="G97" s="13"/>
      <c r="H97" s="13"/>
      <c r="I97" s="155"/>
      <c r="J97" s="178"/>
      <c r="K97" s="1118"/>
    </row>
    <row r="98" spans="2:11" ht="15" customHeight="1">
      <c r="B98" s="176"/>
      <c r="C98" s="165" t="s">
        <v>661</v>
      </c>
      <c r="D98" s="14"/>
      <c r="E98" s="14"/>
      <c r="F98" s="14"/>
      <c r="G98" s="13"/>
      <c r="H98" s="13"/>
      <c r="I98" s="155"/>
      <c r="J98" s="178"/>
      <c r="K98" s="1118"/>
    </row>
    <row r="99" spans="2:11" ht="15" customHeight="1">
      <c r="B99" s="179"/>
      <c r="C99" s="180"/>
      <c r="D99" s="181"/>
      <c r="E99" s="181"/>
      <c r="F99" s="181"/>
      <c r="G99" s="33"/>
      <c r="H99" s="33"/>
      <c r="I99" s="182"/>
      <c r="J99" s="183"/>
      <c r="K99" s="1118"/>
    </row>
    <row r="100" spans="2:11" s="1118" customFormat="1" ht="15" customHeight="1"/>
    <row r="101" spans="2:11" ht="15" customHeight="1">
      <c r="B101" s="1119"/>
      <c r="C101" s="1119"/>
      <c r="D101" s="1119"/>
      <c r="E101" s="1119"/>
      <c r="K101" s="1118"/>
    </row>
    <row r="102" spans="2:11" ht="15" customHeight="1">
      <c r="B102" s="1118"/>
      <c r="C102" s="1118"/>
      <c r="D102" s="1119"/>
      <c r="E102" s="1119"/>
      <c r="K102" s="1118"/>
    </row>
    <row r="103" spans="2:11" ht="15" customHeight="1">
      <c r="B103" s="1118"/>
      <c r="C103" s="1118"/>
      <c r="D103" s="1119"/>
      <c r="E103" s="1119"/>
      <c r="K103" s="1118"/>
    </row>
    <row r="104" spans="2:11" ht="15" customHeight="1">
      <c r="B104" s="1118"/>
      <c r="C104" s="1118"/>
      <c r="D104" s="1119"/>
      <c r="E104" s="1119"/>
      <c r="K104" s="1118"/>
    </row>
    <row r="105" spans="2:11" ht="15" customHeight="1">
      <c r="B105" s="1118"/>
      <c r="C105" s="1118"/>
      <c r="D105" s="1119"/>
      <c r="E105" s="1119"/>
      <c r="K105" s="1118"/>
    </row>
    <row r="106" spans="2:11" ht="15" customHeight="1">
      <c r="B106" s="1118"/>
      <c r="C106" s="1118"/>
      <c r="D106" s="1119"/>
      <c r="E106" s="1119"/>
      <c r="K106" s="1118"/>
    </row>
    <row r="107" spans="2:11" ht="15" customHeight="1">
      <c r="B107" s="1118"/>
      <c r="C107" s="1118"/>
      <c r="D107" s="1119"/>
      <c r="E107" s="1119"/>
      <c r="K107" s="1118"/>
    </row>
    <row r="108" spans="2:11" ht="15" customHeight="1">
      <c r="B108" s="1118"/>
      <c r="C108" s="1118"/>
      <c r="D108" s="1119"/>
      <c r="E108" s="1119"/>
      <c r="K108" s="1118"/>
    </row>
    <row r="109" spans="2:11" ht="15" customHeight="1">
      <c r="B109" s="1118"/>
      <c r="C109" s="1118"/>
      <c r="D109" s="1119"/>
      <c r="E109" s="1119"/>
      <c r="K109" s="1118"/>
    </row>
    <row r="110" spans="2:11" ht="15" customHeight="1">
      <c r="B110" s="1118"/>
      <c r="C110" s="1118"/>
      <c r="D110" s="1119"/>
      <c r="E110" s="1119"/>
      <c r="K110" s="1118"/>
    </row>
    <row r="111" spans="2:11" ht="15" customHeight="1">
      <c r="B111" s="1118"/>
      <c r="C111" s="1118"/>
      <c r="D111" s="1118"/>
      <c r="K111" s="1118"/>
    </row>
    <row r="112" spans="2:11" ht="15" customHeight="1">
      <c r="K112" s="1118"/>
    </row>
    <row r="113" spans="11:11" ht="15" customHeight="1">
      <c r="K113" s="1118"/>
    </row>
    <row r="114" spans="11:11" ht="15" customHeight="1">
      <c r="K114" s="1118"/>
    </row>
    <row r="115" spans="11:11" ht="15" customHeight="1">
      <c r="K115" s="1118"/>
    </row>
    <row r="116" spans="11:11" ht="15" customHeight="1">
      <c r="K116" s="1118"/>
    </row>
    <row r="117" spans="11:11" ht="15" customHeight="1">
      <c r="K117" s="1118"/>
    </row>
    <row r="118" spans="11:11" ht="15" customHeight="1">
      <c r="K118" s="1118"/>
    </row>
    <row r="119" spans="11:11" ht="15" customHeight="1">
      <c r="K119" s="1118"/>
    </row>
    <row r="120" spans="11:11" ht="15" customHeight="1">
      <c r="K120" s="1118"/>
    </row>
    <row r="121" spans="11:11" ht="15" customHeight="1">
      <c r="K121" s="1118"/>
    </row>
    <row r="122" spans="11:11" ht="15" customHeight="1">
      <c r="K122" s="1118"/>
    </row>
    <row r="123" spans="11:11" ht="15" customHeight="1">
      <c r="K123" s="1118"/>
    </row>
    <row r="124" spans="11:11" ht="15" customHeight="1">
      <c r="K124" s="1118"/>
    </row>
    <row r="125" spans="11:11" ht="15" customHeight="1">
      <c r="K125" s="1118"/>
    </row>
    <row r="126" spans="11:11" ht="15" customHeight="1">
      <c r="K126" s="1118"/>
    </row>
    <row r="127" spans="11:11" ht="15" customHeight="1">
      <c r="K127" s="1118"/>
    </row>
    <row r="128" spans="11:11" ht="15" customHeight="1">
      <c r="K128" s="1118"/>
    </row>
    <row r="129" spans="11:11" ht="15" customHeight="1">
      <c r="K129" s="1118"/>
    </row>
    <row r="130" spans="11:11" ht="15" customHeight="1">
      <c r="K130" s="1118"/>
    </row>
    <row r="131" spans="11:11" ht="15" customHeight="1">
      <c r="K131" s="1118"/>
    </row>
    <row r="132" spans="11:11" ht="15" customHeight="1">
      <c r="K132" s="1118"/>
    </row>
    <row r="133" spans="11:11" ht="15" customHeight="1">
      <c r="K133" s="1118"/>
    </row>
    <row r="134" spans="11:11" ht="15" customHeight="1">
      <c r="K134" s="1118"/>
    </row>
    <row r="135" spans="11:11" ht="15" customHeight="1">
      <c r="K135" s="1118"/>
    </row>
    <row r="136" spans="11:11" ht="15" customHeight="1">
      <c r="K136" s="1118"/>
    </row>
    <row r="137" spans="11:11" ht="15" customHeight="1">
      <c r="K137" s="1118"/>
    </row>
    <row r="138" spans="11:11" ht="15" customHeight="1">
      <c r="K138" s="1118"/>
    </row>
    <row r="139" spans="11:11" ht="15" customHeight="1">
      <c r="K139" s="1118"/>
    </row>
    <row r="140" spans="11:11" ht="15" customHeight="1">
      <c r="K140" s="1118"/>
    </row>
    <row r="141" spans="11:11" ht="15" customHeight="1">
      <c r="K141" s="1118"/>
    </row>
    <row r="142" spans="11:11" ht="15" customHeight="1">
      <c r="K142" s="1118"/>
    </row>
    <row r="143" spans="11:11" ht="15" customHeight="1">
      <c r="K143" s="1118"/>
    </row>
    <row r="144" spans="11:11" ht="15" customHeight="1">
      <c r="K144" s="1118"/>
    </row>
    <row r="145" spans="11:11" ht="15" customHeight="1">
      <c r="K145" s="1118"/>
    </row>
    <row r="146" spans="11:11" ht="15" customHeight="1">
      <c r="K146" s="1118"/>
    </row>
    <row r="147" spans="11:11" ht="15" customHeight="1">
      <c r="K147" s="1118"/>
    </row>
    <row r="148" spans="11:11" ht="15" customHeight="1">
      <c r="K148" s="1118"/>
    </row>
    <row r="149" spans="11:11" ht="15" customHeight="1">
      <c r="K149" s="1118"/>
    </row>
    <row r="150" spans="11:11" ht="15" customHeight="1">
      <c r="K150" s="1118"/>
    </row>
    <row r="151" spans="11:11" ht="15" customHeight="1">
      <c r="K151" s="1118"/>
    </row>
    <row r="152" spans="11:11" ht="15" customHeight="1">
      <c r="K152" s="1118"/>
    </row>
    <row r="153" spans="11:11" ht="15" customHeight="1">
      <c r="K153" s="1118"/>
    </row>
    <row r="154" spans="11:11" ht="15" customHeight="1">
      <c r="K154" s="1118"/>
    </row>
    <row r="155" spans="11:11" ht="15" customHeight="1">
      <c r="K155" s="1118"/>
    </row>
    <row r="156" spans="11:11" ht="15" customHeight="1">
      <c r="K156" s="1118"/>
    </row>
    <row r="157" spans="11:11" ht="15" customHeight="1">
      <c r="K157" s="1118"/>
    </row>
    <row r="158" spans="11:11" ht="15" customHeight="1">
      <c r="K158" s="1118"/>
    </row>
    <row r="159" spans="11:11" ht="15" customHeight="1">
      <c r="K159" s="1118"/>
    </row>
    <row r="160" spans="11:11" ht="15" customHeight="1">
      <c r="K160" s="1118"/>
    </row>
    <row r="161" spans="11:11" ht="15" customHeight="1">
      <c r="K161" s="1118"/>
    </row>
    <row r="162" spans="11:11" ht="15" customHeight="1">
      <c r="K162" s="1118"/>
    </row>
    <row r="163" spans="11:11" ht="15" customHeight="1">
      <c r="K163" s="1118"/>
    </row>
    <row r="164" spans="11:11" ht="15" customHeight="1">
      <c r="K164" s="1118"/>
    </row>
    <row r="165" spans="11:11" ht="15" customHeight="1">
      <c r="K165" s="1118"/>
    </row>
    <row r="166" spans="11:11" ht="15" customHeight="1">
      <c r="K166" s="1118"/>
    </row>
    <row r="167" spans="11:11" ht="15" customHeight="1">
      <c r="K167" s="1118"/>
    </row>
    <row r="168" spans="11:11" ht="15" customHeight="1">
      <c r="K168" s="1118"/>
    </row>
    <row r="169" spans="11:11" ht="15" customHeight="1">
      <c r="K169" s="1118"/>
    </row>
    <row r="170" spans="11:11" ht="15" customHeight="1">
      <c r="K170" s="1118"/>
    </row>
    <row r="171" spans="11:11" ht="15" customHeight="1">
      <c r="K171" s="1118"/>
    </row>
    <row r="172" spans="11:11" ht="15" customHeight="1">
      <c r="K172" s="1118"/>
    </row>
    <row r="173" spans="11:11" ht="15" customHeight="1">
      <c r="K173" s="1118"/>
    </row>
    <row r="174" spans="11:11" ht="15" customHeight="1">
      <c r="K174" s="1118"/>
    </row>
    <row r="175" spans="11:11" ht="15" customHeight="1">
      <c r="K175" s="1118"/>
    </row>
    <row r="176" spans="11:11" ht="15" customHeight="1">
      <c r="K176" s="1118"/>
    </row>
    <row r="177" spans="11:11" ht="15" customHeight="1">
      <c r="K177" s="1118"/>
    </row>
    <row r="178" spans="11:11" ht="15" customHeight="1">
      <c r="K178" s="1118"/>
    </row>
    <row r="179" spans="11:11" ht="15" customHeight="1">
      <c r="K179" s="1118"/>
    </row>
    <row r="180" spans="11:11" ht="15" customHeight="1">
      <c r="K180" s="1118"/>
    </row>
    <row r="181" spans="11:11" ht="15" customHeight="1">
      <c r="K181" s="1118"/>
    </row>
    <row r="182" spans="11:11" ht="15" customHeight="1">
      <c r="K182" s="1118"/>
    </row>
    <row r="183" spans="11:11" ht="15" customHeight="1">
      <c r="K183" s="1118"/>
    </row>
    <row r="184" spans="11:11" ht="15" customHeight="1">
      <c r="K184" s="1118"/>
    </row>
    <row r="185" spans="11:11" ht="15" customHeight="1">
      <c r="K185" s="1118"/>
    </row>
    <row r="186" spans="11:11" ht="15" customHeight="1">
      <c r="K186" s="1118"/>
    </row>
    <row r="187" spans="11:11" ht="15" customHeight="1">
      <c r="K187" s="1118"/>
    </row>
    <row r="188" spans="11:11" ht="15" customHeight="1">
      <c r="K188" s="1118"/>
    </row>
    <row r="189" spans="11:11" ht="15" customHeight="1">
      <c r="K189" s="1118"/>
    </row>
    <row r="190" spans="11:11" ht="15" customHeight="1">
      <c r="K190" s="1118"/>
    </row>
    <row r="191" spans="11:11" ht="15" customHeight="1">
      <c r="K191" s="1118"/>
    </row>
    <row r="192" spans="11:11" ht="15" customHeight="1">
      <c r="K192" s="1118"/>
    </row>
    <row r="193" spans="11:11" ht="15" customHeight="1">
      <c r="K193" s="1118"/>
    </row>
    <row r="194" spans="11:11" ht="15" customHeight="1">
      <c r="K194" s="1118"/>
    </row>
    <row r="195" spans="11:11" ht="15" customHeight="1">
      <c r="K195" s="1118"/>
    </row>
    <row r="196" spans="11:11" ht="15" customHeight="1">
      <c r="K196" s="1118"/>
    </row>
    <row r="197" spans="11:11" ht="15" customHeight="1">
      <c r="K197" s="1118"/>
    </row>
    <row r="198" spans="11:11" ht="15" customHeight="1">
      <c r="K198" s="1118"/>
    </row>
    <row r="199" spans="11:11" ht="15" customHeight="1">
      <c r="K199" s="1118"/>
    </row>
    <row r="200" spans="11:11" ht="15" customHeight="1">
      <c r="K200" s="1118"/>
    </row>
    <row r="201" spans="11:11" ht="15" customHeight="1">
      <c r="K201" s="1118"/>
    </row>
    <row r="202" spans="11:11" ht="15" customHeight="1">
      <c r="K202" s="1118"/>
    </row>
    <row r="203" spans="11:11" ht="15" customHeight="1">
      <c r="K203" s="1118"/>
    </row>
    <row r="204" spans="11:11" ht="15" customHeight="1">
      <c r="K204" s="1118"/>
    </row>
    <row r="205" spans="11:11" ht="15" customHeight="1">
      <c r="K205" s="1118"/>
    </row>
    <row r="206" spans="11:11" ht="15" customHeight="1">
      <c r="K206" s="1118"/>
    </row>
    <row r="207" spans="11:11" ht="15" customHeight="1">
      <c r="K207" s="1118"/>
    </row>
    <row r="208" spans="11:11" ht="15" customHeight="1">
      <c r="K208" s="1118"/>
    </row>
    <row r="209" spans="11:11" ht="15" customHeight="1">
      <c r="K209" s="1118"/>
    </row>
    <row r="210" spans="11:11" ht="15" customHeight="1">
      <c r="K210" s="1118"/>
    </row>
    <row r="211" spans="11:11" ht="15" customHeight="1">
      <c r="K211" s="1118"/>
    </row>
    <row r="212" spans="11:11" ht="15" customHeight="1">
      <c r="K212" s="1118"/>
    </row>
    <row r="213" spans="11:11" ht="15" customHeight="1">
      <c r="K213" s="1118"/>
    </row>
    <row r="214" spans="11:11" ht="15" customHeight="1">
      <c r="K214" s="1118"/>
    </row>
    <row r="215" spans="11:11" ht="15" customHeight="1">
      <c r="K215" s="1118"/>
    </row>
    <row r="216" spans="11:11" ht="15" customHeight="1">
      <c r="K216" s="1118"/>
    </row>
    <row r="217" spans="11:11" ht="15" customHeight="1">
      <c r="K217" s="1118"/>
    </row>
    <row r="218" spans="11:11" ht="15" customHeight="1">
      <c r="K218" s="1118"/>
    </row>
    <row r="219" spans="11:11" ht="15" customHeight="1">
      <c r="K219" s="1118"/>
    </row>
    <row r="220" spans="11:11" ht="15" customHeight="1">
      <c r="K220" s="1118"/>
    </row>
    <row r="221" spans="11:11" ht="15" customHeight="1">
      <c r="K221" s="1118"/>
    </row>
  </sheetData>
  <mergeCells count="1">
    <mergeCell ref="F65:F68"/>
  </mergeCells>
  <phoneticPr fontId="0" type="noConversion"/>
  <dataValidations disablePrompts="1" count="4">
    <dataValidation type="list" allowBlank="1" showInputMessage="1" showErrorMessage="1" sqref="C66">
      <formula1>$D$82:$D$85</formula1>
    </dataValidation>
    <dataValidation type="list" allowBlank="1" showInputMessage="1" showErrorMessage="1" sqref="C65">
      <formula1>$D$75:$D$78</formula1>
    </dataValidation>
    <dataValidation type="date" allowBlank="1" showInputMessage="1" showErrorMessage="1" sqref="C62:C63">
      <formula1>1462</formula1>
      <formula2>69399</formula2>
    </dataValidation>
    <dataValidation operator="equal" allowBlank="1" showInputMessage="1" showErrorMessage="1" sqref="C67:C68"/>
  </dataValidations>
  <pageMargins left="0.70866141732283472" right="0.70866141732283472" top="0.74803149606299213" bottom="0.74803149606299213" header="0.31496062992125984" footer="0.31496062992125984"/>
  <pageSetup paperSize="9"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tabColor rgb="FFFFFF00"/>
  </sheetPr>
  <dimension ref="A1:M42"/>
  <sheetViews>
    <sheetView zoomScale="90" zoomScaleNormal="90" workbookViewId="0"/>
  </sheetViews>
  <sheetFormatPr baseColWidth="10" defaultColWidth="9.140625" defaultRowHeight="15" customHeight="1"/>
  <cols>
    <col min="1" max="1" width="3.7109375" style="1117" customWidth="1"/>
    <col min="2" max="2" width="24.5703125" style="1117" customWidth="1"/>
    <col min="3" max="3" width="21.28515625" style="1117" customWidth="1"/>
    <col min="4" max="6" width="9" style="1117" customWidth="1"/>
    <col min="7" max="7" width="9.140625" style="1117"/>
    <col min="8" max="8" width="24.5703125" style="1117" customWidth="1"/>
    <col min="9" max="9" width="13.140625" style="1117" customWidth="1"/>
    <col min="10" max="10" width="8.28515625" style="1117" customWidth="1"/>
    <col min="11" max="16384" width="9.140625" style="1117"/>
  </cols>
  <sheetData>
    <row r="1" spans="1:13" ht="17.25" customHeight="1">
      <c r="A1" s="1154"/>
    </row>
    <row r="5" spans="1:13" ht="21">
      <c r="B5" s="1905" t="s">
        <v>989</v>
      </c>
      <c r="C5" s="1449"/>
      <c r="E5" s="1450"/>
    </row>
    <row r="6" spans="1:13" ht="15" customHeight="1">
      <c r="B6" s="1189" t="s">
        <v>24</v>
      </c>
    </row>
    <row r="7" spans="1:13" ht="15" customHeight="1">
      <c r="B7" s="1190" t="s">
        <v>30</v>
      </c>
    </row>
    <row r="8" spans="1:13" ht="15" customHeight="1">
      <c r="B8" s="1190"/>
    </row>
    <row r="9" spans="1:13" ht="15" customHeight="1">
      <c r="B9" s="94" t="s">
        <v>540</v>
      </c>
      <c r="C9" s="84"/>
      <c r="D9" s="84"/>
      <c r="E9" s="84"/>
      <c r="F9" s="6"/>
      <c r="G9" s="6"/>
      <c r="H9" s="6"/>
      <c r="I9" s="6"/>
      <c r="J9" s="6"/>
      <c r="K9" s="6"/>
      <c r="L9" s="6"/>
      <c r="M9" s="7"/>
    </row>
    <row r="10" spans="1:13" ht="15.75">
      <c r="B10" s="2425" t="s">
        <v>547</v>
      </c>
      <c r="C10" s="2426"/>
      <c r="D10" s="85"/>
      <c r="E10" s="85"/>
      <c r="F10" s="751"/>
      <c r="G10" s="751"/>
      <c r="H10" s="2427" t="s">
        <v>546</v>
      </c>
      <c r="I10" s="2427"/>
      <c r="J10" s="751"/>
      <c r="K10" s="751"/>
      <c r="L10" s="751"/>
      <c r="M10" s="8"/>
    </row>
    <row r="11" spans="1:13" ht="15" customHeight="1">
      <c r="B11" s="95"/>
      <c r="C11" s="85"/>
      <c r="D11" s="85"/>
      <c r="E11" s="85"/>
      <c r="F11" s="751"/>
      <c r="G11" s="751"/>
      <c r="H11" s="9"/>
      <c r="I11" s="86"/>
      <c r="J11" s="25"/>
      <c r="K11" s="751"/>
      <c r="L11" s="751"/>
      <c r="M11" s="8"/>
    </row>
    <row r="12" spans="1:13" ht="15" customHeight="1">
      <c r="B12" s="1355" t="s">
        <v>2040</v>
      </c>
      <c r="C12" s="85"/>
      <c r="D12" s="85"/>
      <c r="E12" s="85"/>
      <c r="F12" s="751"/>
      <c r="G12" s="751"/>
      <c r="H12" s="1910" t="s">
        <v>541</v>
      </c>
      <c r="I12" s="87"/>
      <c r="J12" s="25"/>
      <c r="K12" s="751"/>
      <c r="L12" s="751"/>
      <c r="M12" s="8"/>
    </row>
    <row r="13" spans="1:13" ht="15" customHeight="1">
      <c r="B13" s="1303" t="s">
        <v>542</v>
      </c>
      <c r="C13" s="1303" t="s">
        <v>519</v>
      </c>
      <c r="D13" s="1303" t="s">
        <v>543</v>
      </c>
      <c r="E13" s="1303" t="s">
        <v>544</v>
      </c>
      <c r="F13" s="751"/>
      <c r="G13" s="751"/>
      <c r="H13" s="1731" t="s">
        <v>542</v>
      </c>
      <c r="I13" s="1731" t="s">
        <v>519</v>
      </c>
      <c r="J13" s="1731" t="s">
        <v>543</v>
      </c>
      <c r="K13" s="1731" t="s">
        <v>544</v>
      </c>
      <c r="L13" s="751"/>
      <c r="M13" s="8"/>
    </row>
    <row r="14" spans="1:13" ht="15" customHeight="1">
      <c r="A14" s="1419"/>
      <c r="B14" s="1355" t="s">
        <v>2041</v>
      </c>
      <c r="C14" s="1355" t="s">
        <v>2042</v>
      </c>
      <c r="D14" s="85"/>
      <c r="E14" s="85"/>
      <c r="F14" s="751"/>
      <c r="G14" s="751"/>
      <c r="H14" s="1911" t="e">
        <f ca="1">_xll.BToday()-14</f>
        <v>#NAME?</v>
      </c>
      <c r="I14" s="1912" t="e">
        <f ca="1">_xll.BToday()-7</f>
        <v>#NAME?</v>
      </c>
      <c r="J14" s="751"/>
      <c r="K14" s="751"/>
      <c r="L14" s="751"/>
      <c r="M14" s="8"/>
    </row>
    <row r="15" spans="1:13" ht="15" customHeight="1">
      <c r="B15" s="1303" t="s">
        <v>545</v>
      </c>
      <c r="C15" s="89"/>
      <c r="D15" s="91"/>
      <c r="E15" s="91"/>
      <c r="F15" s="91"/>
      <c r="G15" s="90"/>
      <c r="H15" s="750"/>
      <c r="I15" s="88"/>
      <c r="J15" s="91"/>
      <c r="K15" s="91"/>
      <c r="L15" s="91"/>
      <c r="M15" s="8"/>
    </row>
    <row r="16" spans="1:13" ht="15" customHeight="1">
      <c r="B16" s="2194" t="s">
        <v>2058</v>
      </c>
      <c r="C16" s="91" t="s">
        <v>551</v>
      </c>
      <c r="D16" s="91" t="s">
        <v>519</v>
      </c>
      <c r="E16" s="91" t="s">
        <v>543</v>
      </c>
      <c r="F16" s="91" t="s">
        <v>544</v>
      </c>
      <c r="G16" s="90"/>
      <c r="H16" s="676" t="s">
        <v>1294</v>
      </c>
      <c r="I16" s="91" t="s">
        <v>542</v>
      </c>
      <c r="J16" s="91" t="s">
        <v>519</v>
      </c>
      <c r="K16" s="91" t="s">
        <v>543</v>
      </c>
      <c r="L16" s="91" t="s">
        <v>544</v>
      </c>
      <c r="M16" s="8"/>
    </row>
    <row r="17" spans="2:13" ht="15" customHeight="1">
      <c r="B17" s="2195" t="e">
        <f ca="1">_xll.BRB(B12,B13:E13,B14,C14,B15,"points=5")</f>
        <v>#NAME?</v>
      </c>
      <c r="C17" s="93"/>
      <c r="D17" s="93"/>
      <c r="E17" s="93"/>
      <c r="F17" s="93"/>
      <c r="G17" s="751"/>
      <c r="H17" s="464" t="e">
        <f ca="1">_xll.BRB(H12,H13:K13,H14,I14)</f>
        <v>#NAME?</v>
      </c>
      <c r="I17" s="93"/>
      <c r="J17" s="93"/>
      <c r="K17" s="93"/>
      <c r="L17" s="93"/>
      <c r="M17" s="8"/>
    </row>
    <row r="18" spans="2:13" ht="15" customHeight="1">
      <c r="B18" s="2196"/>
      <c r="C18" s="93"/>
      <c r="D18" s="93"/>
      <c r="E18" s="93"/>
      <c r="F18" s="93"/>
      <c r="G18" s="751"/>
      <c r="H18" s="296"/>
      <c r="I18" s="93"/>
      <c r="J18" s="93"/>
      <c r="K18" s="93"/>
      <c r="L18" s="93"/>
      <c r="M18" s="8"/>
    </row>
    <row r="19" spans="2:13" ht="15" customHeight="1">
      <c r="B19" s="2196"/>
      <c r="C19" s="93"/>
      <c r="D19" s="93"/>
      <c r="E19" s="93"/>
      <c r="F19" s="93"/>
      <c r="G19" s="751"/>
      <c r="H19" s="296"/>
      <c r="I19" s="93"/>
      <c r="J19" s="93"/>
      <c r="K19" s="93"/>
      <c r="L19" s="93"/>
      <c r="M19" s="8"/>
    </row>
    <row r="20" spans="2:13" ht="15" customHeight="1">
      <c r="B20" s="2196"/>
      <c r="C20" s="93"/>
      <c r="D20" s="93"/>
      <c r="E20" s="93"/>
      <c r="F20" s="93"/>
      <c r="G20" s="751"/>
      <c r="H20" s="296"/>
      <c r="I20" s="93"/>
      <c r="J20" s="93"/>
      <c r="K20" s="93"/>
      <c r="L20" s="93"/>
      <c r="M20" s="8"/>
    </row>
    <row r="21" spans="2:13" ht="15" customHeight="1">
      <c r="B21" s="2196"/>
      <c r="C21" s="93"/>
      <c r="D21" s="93"/>
      <c r="E21" s="93"/>
      <c r="F21" s="93"/>
      <c r="G21" s="751"/>
      <c r="H21" s="296"/>
      <c r="I21" s="93"/>
      <c r="J21" s="93"/>
      <c r="K21" s="93"/>
      <c r="L21" s="93"/>
      <c r="M21" s="8"/>
    </row>
    <row r="22" spans="2:13" ht="15" customHeight="1">
      <c r="B22" s="2196"/>
      <c r="C22" s="93"/>
      <c r="D22" s="93"/>
      <c r="E22" s="93"/>
      <c r="F22" s="93"/>
      <c r="G22" s="751"/>
      <c r="H22" s="296"/>
      <c r="I22" s="93"/>
      <c r="J22" s="93"/>
      <c r="K22" s="93"/>
      <c r="L22" s="93"/>
      <c r="M22" s="8"/>
    </row>
    <row r="23" spans="2:13" ht="15" customHeight="1">
      <c r="B23" s="2197"/>
      <c r="C23" s="751"/>
      <c r="D23" s="751"/>
      <c r="E23" s="751"/>
      <c r="F23" s="751"/>
      <c r="G23" s="751"/>
      <c r="H23" s="19"/>
      <c r="I23" s="751"/>
      <c r="J23" s="751"/>
      <c r="K23" s="751"/>
      <c r="L23" s="751"/>
      <c r="M23" s="8"/>
    </row>
    <row r="24" spans="2:13" ht="15" customHeight="1">
      <c r="B24" s="2198"/>
      <c r="C24" s="9"/>
      <c r="D24" s="9"/>
      <c r="E24" s="9"/>
      <c r="F24" s="9"/>
      <c r="G24" s="9"/>
      <c r="H24" s="1913"/>
      <c r="I24" s="9"/>
      <c r="J24" s="9"/>
      <c r="K24" s="9"/>
      <c r="L24" s="9"/>
      <c r="M24" s="10"/>
    </row>
    <row r="25" spans="2:13" ht="15" customHeight="1">
      <c r="B25" s="1906"/>
      <c r="H25" s="1419"/>
    </row>
    <row r="26" spans="2:13" ht="15" customHeight="1">
      <c r="B26" s="1908" t="s">
        <v>2043</v>
      </c>
      <c r="C26" s="1142"/>
      <c r="D26" s="1119"/>
      <c r="E26" s="1119"/>
      <c r="H26" s="1419"/>
    </row>
    <row r="27" spans="2:13" ht="15" customHeight="1">
      <c r="B27" s="1908"/>
      <c r="C27" s="1142"/>
      <c r="D27" s="1118"/>
      <c r="E27" s="1119"/>
      <c r="H27" s="1419"/>
    </row>
    <row r="28" spans="2:13" ht="15" customHeight="1">
      <c r="B28" s="1908"/>
      <c r="C28" s="1142"/>
      <c r="D28" s="1118"/>
      <c r="E28" s="1119"/>
    </row>
    <row r="29" spans="2:13" ht="15" customHeight="1">
      <c r="B29" s="1909"/>
      <c r="C29" s="1142"/>
      <c r="D29" s="1118"/>
      <c r="E29" s="1119"/>
    </row>
    <row r="30" spans="2:13" ht="15" customHeight="1">
      <c r="B30" s="1908"/>
      <c r="C30" s="1118"/>
      <c r="D30" s="1118"/>
      <c r="E30" s="1119"/>
    </row>
    <row r="31" spans="2:13" ht="15" customHeight="1">
      <c r="B31" s="1908"/>
      <c r="C31" s="1118"/>
      <c r="D31" s="1118"/>
      <c r="E31" s="1119"/>
    </row>
    <row r="32" spans="2:13" ht="15" customHeight="1">
      <c r="B32" s="1908"/>
      <c r="C32" s="1118"/>
      <c r="D32" s="1118"/>
      <c r="E32" s="1119"/>
    </row>
    <row r="33" spans="2:5" ht="15" customHeight="1">
      <c r="B33" s="1908"/>
      <c r="C33" s="1118"/>
      <c r="D33" s="1118"/>
      <c r="E33" s="1119"/>
    </row>
    <row r="34" spans="2:5" ht="15" customHeight="1">
      <c r="B34" s="1908"/>
      <c r="C34" s="1118"/>
      <c r="D34" s="1118"/>
      <c r="E34" s="1119"/>
    </row>
    <row r="35" spans="2:5" ht="15" customHeight="1">
      <c r="B35" s="1908"/>
      <c r="C35" s="1118"/>
      <c r="D35" s="1118"/>
      <c r="E35" s="1119"/>
    </row>
    <row r="36" spans="2:5" ht="15" customHeight="1">
      <c r="B36" s="1907"/>
      <c r="C36" s="1119"/>
      <c r="D36" s="1119"/>
      <c r="E36" s="1119"/>
    </row>
    <row r="37" spans="2:5" ht="15" customHeight="1">
      <c r="B37" s="1907"/>
      <c r="C37" s="1119"/>
      <c r="D37" s="1119"/>
      <c r="E37" s="1119"/>
    </row>
    <row r="38" spans="2:5" ht="15" customHeight="1">
      <c r="B38" s="1119"/>
      <c r="C38" s="1119"/>
      <c r="D38" s="1119"/>
      <c r="E38" s="1119"/>
    </row>
    <row r="39" spans="2:5" ht="15" customHeight="1">
      <c r="B39" s="1419"/>
    </row>
    <row r="40" spans="2:5" ht="15" customHeight="1">
      <c r="B40" s="1419"/>
    </row>
    <row r="41" spans="2:5" ht="15" customHeight="1">
      <c r="B41" s="1419"/>
    </row>
    <row r="42" spans="2:5" ht="15" customHeight="1">
      <c r="B42" s="1419"/>
    </row>
  </sheetData>
  <mergeCells count="2">
    <mergeCell ref="B10:C10"/>
    <mergeCell ref="H10:I10"/>
  </mergeCells>
  <phoneticPr fontId="0" type="noConversion"/>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tabColor rgb="FFFFFF00"/>
  </sheetPr>
  <dimension ref="A1:R54"/>
  <sheetViews>
    <sheetView topLeftCell="A31" zoomScale="90" zoomScaleNormal="90" workbookViewId="0"/>
  </sheetViews>
  <sheetFormatPr baseColWidth="10" defaultColWidth="9" defaultRowHeight="15" customHeight="1"/>
  <cols>
    <col min="1" max="1" width="3.7109375" style="1117" customWidth="1"/>
    <col min="2" max="2" width="15.28515625" style="1117" customWidth="1"/>
    <col min="3" max="3" width="19.85546875" style="1117" bestFit="1" customWidth="1"/>
    <col min="4" max="4" width="9" style="1117"/>
    <col min="5" max="5" width="17.140625" style="1117" customWidth="1"/>
    <col min="6" max="6" width="9" style="1117"/>
    <col min="7" max="7" width="11.42578125" style="1117" customWidth="1"/>
    <col min="8" max="8" width="15.42578125" style="1117" customWidth="1"/>
    <col min="9" max="9" width="9.28515625" style="1117" bestFit="1" customWidth="1"/>
    <col min="10" max="18" width="9.140625" style="1117" customWidth="1"/>
    <col min="19" max="16384" width="9" style="1117"/>
  </cols>
  <sheetData>
    <row r="1" spans="1:18" ht="17.25" customHeight="1">
      <c r="A1" s="1154"/>
    </row>
    <row r="5" spans="1:18" ht="21">
      <c r="B5" s="1158" t="s">
        <v>662</v>
      </c>
      <c r="E5" s="1450"/>
    </row>
    <row r="6" spans="1:18" ht="15" customHeight="1">
      <c r="B6" s="1189" t="s">
        <v>539</v>
      </c>
    </row>
    <row r="7" spans="1:18" ht="15" customHeight="1">
      <c r="B7" s="1190" t="s">
        <v>30</v>
      </c>
    </row>
    <row r="9" spans="1:18" ht="15" customHeight="1">
      <c r="B9" s="1117" t="s">
        <v>1715</v>
      </c>
    </row>
    <row r="10" spans="1:18" ht="15" customHeight="1">
      <c r="E10" s="1914"/>
      <c r="M10" s="1915"/>
      <c r="N10" s="1915"/>
      <c r="O10" s="1915"/>
      <c r="P10" s="1915"/>
      <c r="Q10" s="1915"/>
      <c r="R10" s="1915"/>
    </row>
    <row r="11" spans="1:18" ht="15" customHeight="1">
      <c r="M11" s="1915"/>
      <c r="N11" s="1915"/>
      <c r="O11" s="1915"/>
      <c r="P11" s="1915"/>
      <c r="Q11" s="1915"/>
      <c r="R11" s="1915"/>
    </row>
    <row r="12" spans="1:18" ht="15" customHeight="1">
      <c r="M12" s="1915"/>
      <c r="N12" s="1915"/>
      <c r="O12" s="1915"/>
      <c r="P12" s="1915"/>
      <c r="Q12" s="1915"/>
      <c r="R12" s="1915"/>
    </row>
    <row r="13" spans="1:18" ht="15" customHeight="1">
      <c r="M13" s="1915"/>
      <c r="N13" s="1915"/>
      <c r="O13" s="1915"/>
      <c r="P13" s="1915"/>
      <c r="Q13" s="1915"/>
      <c r="R13" s="1915"/>
    </row>
    <row r="14" spans="1:18" ht="15" customHeight="1">
      <c r="M14" s="1915"/>
      <c r="N14" s="1915"/>
      <c r="O14" s="1915"/>
      <c r="P14" s="1915"/>
      <c r="Q14" s="1915"/>
      <c r="R14" s="1915"/>
    </row>
    <row r="15" spans="1:18" ht="15" customHeight="1">
      <c r="M15" s="1915"/>
      <c r="N15" s="1915"/>
      <c r="O15" s="1915"/>
      <c r="P15" s="1915"/>
      <c r="Q15" s="1915"/>
      <c r="R15" s="1915"/>
    </row>
    <row r="16" spans="1:18" ht="15" customHeight="1">
      <c r="M16" s="1915"/>
      <c r="N16" s="1915"/>
      <c r="O16" s="1915"/>
      <c r="P16" s="1915"/>
      <c r="Q16" s="1915"/>
      <c r="R16" s="1915"/>
    </row>
    <row r="17" spans="2:18" ht="15" customHeight="1">
      <c r="M17" s="1915"/>
      <c r="N17" s="1915"/>
      <c r="O17" s="1915"/>
      <c r="P17" s="1915"/>
      <c r="Q17" s="1915"/>
      <c r="R17" s="1915"/>
    </row>
    <row r="18" spans="2:18" ht="15" customHeight="1">
      <c r="M18" s="1915"/>
      <c r="N18" s="1915"/>
      <c r="O18" s="1915"/>
      <c r="P18" s="1915"/>
      <c r="Q18" s="1915"/>
      <c r="R18" s="1915"/>
    </row>
    <row r="19" spans="2:18" ht="15" customHeight="1">
      <c r="M19" s="1915"/>
      <c r="N19" s="1915"/>
      <c r="O19" s="1915"/>
      <c r="P19" s="1915"/>
      <c r="Q19" s="1915"/>
      <c r="R19" s="1915"/>
    </row>
    <row r="20" spans="2:18" ht="15" customHeight="1">
      <c r="M20" s="1915"/>
      <c r="N20" s="1915"/>
      <c r="O20" s="1915"/>
      <c r="P20" s="1915"/>
      <c r="Q20" s="1915"/>
      <c r="R20" s="1915"/>
    </row>
    <row r="21" spans="2:18" ht="15" customHeight="1">
      <c r="M21" s="1915"/>
      <c r="N21" s="1915"/>
      <c r="O21" s="1915"/>
      <c r="P21" s="1915"/>
      <c r="Q21" s="1915"/>
      <c r="R21" s="1915"/>
    </row>
    <row r="22" spans="2:18" ht="15" customHeight="1">
      <c r="M22" s="1915"/>
      <c r="N22" s="1915"/>
      <c r="O22" s="1915"/>
      <c r="P22" s="1915"/>
      <c r="Q22" s="1915"/>
      <c r="R22" s="1915"/>
    </row>
    <row r="23" spans="2:18" ht="15" customHeight="1">
      <c r="M23" s="1915"/>
      <c r="N23" s="1915"/>
      <c r="O23" s="1915"/>
      <c r="P23" s="1915"/>
      <c r="Q23" s="1915"/>
      <c r="R23" s="1915"/>
    </row>
    <row r="24" spans="2:18" ht="15" customHeight="1">
      <c r="M24" s="1915"/>
      <c r="N24" s="1915"/>
      <c r="O24" s="1915"/>
      <c r="P24" s="1915"/>
      <c r="Q24" s="1915"/>
      <c r="R24" s="1915"/>
    </row>
    <row r="25" spans="2:18" ht="15" customHeight="1">
      <c r="M25" s="1915"/>
      <c r="N25" s="1915"/>
      <c r="O25" s="1915"/>
      <c r="P25" s="1915"/>
      <c r="Q25" s="1915"/>
      <c r="R25" s="1915"/>
    </row>
    <row r="30" spans="2:18" ht="15" customHeight="1">
      <c r="B30" s="1119"/>
    </row>
    <row r="31" spans="2:18" ht="15" customHeight="1">
      <c r="B31" s="1457"/>
    </row>
    <row r="36" spans="2:8" ht="15" customHeight="1">
      <c r="B36" s="1119"/>
      <c r="C36" s="1119"/>
      <c r="D36" s="1119"/>
    </row>
    <row r="37" spans="2:8" ht="15" customHeight="1">
      <c r="B37" s="1119"/>
      <c r="C37" s="2092" t="s">
        <v>1945</v>
      </c>
      <c r="D37" s="1119"/>
    </row>
    <row r="38" spans="2:8" ht="15" customHeight="1">
      <c r="B38" s="1119"/>
      <c r="C38" s="1119"/>
      <c r="D38" s="1119"/>
      <c r="E38" s="1119"/>
      <c r="F38" s="1119"/>
      <c r="G38" s="1119"/>
      <c r="H38" s="1119"/>
    </row>
    <row r="39" spans="2:8" ht="15" customHeight="1">
      <c r="B39" s="1118"/>
      <c r="D39" s="1119"/>
      <c r="E39" s="1119"/>
      <c r="F39" s="1119"/>
      <c r="G39" s="1119"/>
      <c r="H39" s="1119"/>
    </row>
    <row r="40" spans="2:8" ht="15" customHeight="1">
      <c r="B40" s="1118"/>
      <c r="C40" s="1118"/>
      <c r="D40" s="1119"/>
      <c r="E40" s="1119"/>
      <c r="F40" s="1119"/>
      <c r="G40" s="1119"/>
      <c r="H40" s="1119"/>
    </row>
    <row r="41" spans="2:8" ht="15" customHeight="1">
      <c r="B41" s="1118"/>
      <c r="C41" s="1118"/>
      <c r="D41" s="1119"/>
      <c r="E41" s="1119"/>
      <c r="F41" s="1119"/>
      <c r="G41" s="1119"/>
      <c r="H41" s="1119"/>
    </row>
    <row r="42" spans="2:8" ht="15" customHeight="1">
      <c r="B42" s="1118"/>
      <c r="C42" s="1118"/>
      <c r="D42" s="1119"/>
      <c r="E42" s="1119"/>
      <c r="F42" s="1119"/>
      <c r="G42" s="1119"/>
      <c r="H42" s="1119"/>
    </row>
    <row r="43" spans="2:8" ht="15" customHeight="1">
      <c r="B43" s="1118"/>
      <c r="C43" s="1118"/>
      <c r="D43" s="1119"/>
      <c r="E43" s="1119"/>
      <c r="F43" s="1119"/>
      <c r="G43" s="1119"/>
      <c r="H43" s="1119"/>
    </row>
    <row r="44" spans="2:8" ht="15" customHeight="1">
      <c r="B44" s="1118"/>
      <c r="C44" s="1118"/>
      <c r="D44" s="1119"/>
      <c r="E44" s="1119"/>
      <c r="F44" s="1119"/>
      <c r="G44" s="1119"/>
      <c r="H44" s="1119"/>
    </row>
    <row r="45" spans="2:8" ht="15" customHeight="1">
      <c r="B45" s="1118"/>
      <c r="C45" s="1118"/>
      <c r="D45" s="1119"/>
      <c r="E45" s="1119"/>
      <c r="F45" s="1119"/>
      <c r="G45" s="1119"/>
      <c r="H45" s="1119"/>
    </row>
    <row r="46" spans="2:8" ht="15" customHeight="1">
      <c r="B46" s="1118"/>
      <c r="C46" s="1118"/>
      <c r="D46" s="1119"/>
      <c r="E46" s="1119"/>
      <c r="F46" s="1119"/>
      <c r="G46" s="1119"/>
      <c r="H46" s="1119"/>
    </row>
    <row r="47" spans="2:8" ht="15" customHeight="1">
      <c r="B47" s="1118"/>
      <c r="C47" s="1118"/>
      <c r="D47" s="1119"/>
      <c r="E47" s="1119"/>
      <c r="F47" s="1119"/>
      <c r="G47" s="1119"/>
      <c r="H47" s="1119"/>
    </row>
    <row r="48" spans="2:8" ht="15" customHeight="1">
      <c r="B48" s="1119"/>
      <c r="C48" s="1119"/>
      <c r="D48" s="1119"/>
      <c r="E48" s="1119"/>
      <c r="F48" s="1119"/>
      <c r="G48" s="1119"/>
      <c r="H48" s="1119"/>
    </row>
    <row r="49" spans="2:4" ht="15" customHeight="1">
      <c r="B49" s="1119"/>
      <c r="C49" s="1119"/>
      <c r="D49" s="1119"/>
    </row>
    <row r="50" spans="2:4" ht="15" customHeight="1">
      <c r="B50" s="1119"/>
      <c r="C50" s="1119"/>
      <c r="D50" s="1119"/>
    </row>
    <row r="51" spans="2:4" ht="15" customHeight="1">
      <c r="B51" s="1119"/>
      <c r="C51" s="1119"/>
      <c r="D51" s="1119"/>
    </row>
    <row r="52" spans="2:4" ht="15" customHeight="1">
      <c r="B52" s="1119"/>
      <c r="C52" s="1119"/>
      <c r="D52" s="1119"/>
    </row>
    <row r="53" spans="2:4" ht="15" customHeight="1">
      <c r="B53" s="1119"/>
      <c r="C53" s="1119"/>
      <c r="D53" s="1119"/>
    </row>
    <row r="54" spans="2:4" ht="15" customHeight="1">
      <c r="B54" s="1119"/>
      <c r="C54" s="1119"/>
      <c r="D54" s="1119"/>
    </row>
  </sheetData>
  <phoneticPr fontId="0" type="noConversion"/>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FF00"/>
  </sheetPr>
  <dimension ref="A1:T211"/>
  <sheetViews>
    <sheetView zoomScale="90" zoomScaleNormal="90" workbookViewId="0"/>
  </sheetViews>
  <sheetFormatPr baseColWidth="10" defaultColWidth="9" defaultRowHeight="15" customHeight="1"/>
  <cols>
    <col min="1" max="1" width="3.7109375" style="1117" customWidth="1"/>
    <col min="2" max="2" width="17.85546875" style="1117" customWidth="1"/>
    <col min="3" max="3" width="26.42578125" style="1117" customWidth="1"/>
    <col min="4" max="8" width="17.85546875" style="1117" customWidth="1"/>
    <col min="9" max="9" width="19.42578125" style="1117" customWidth="1"/>
    <col min="10" max="10" width="20.42578125" style="1117" customWidth="1"/>
    <col min="11" max="11" width="19.28515625" style="1117" customWidth="1"/>
    <col min="12" max="12" width="19.5703125" style="1117" customWidth="1"/>
    <col min="13" max="16384" width="9" style="1117"/>
  </cols>
  <sheetData>
    <row r="1" spans="1:8" ht="17.25" customHeight="1">
      <c r="A1" s="1154"/>
    </row>
    <row r="5" spans="1:8" ht="21">
      <c r="B5" s="1186" t="s">
        <v>1004</v>
      </c>
      <c r="H5" s="1186"/>
    </row>
    <row r="6" spans="1:8" ht="15" customHeight="1">
      <c r="B6" s="1916" t="s">
        <v>1005</v>
      </c>
      <c r="H6" s="1916"/>
    </row>
    <row r="7" spans="1:8" ht="15" customHeight="1">
      <c r="B7" s="1479" t="s">
        <v>30</v>
      </c>
      <c r="H7" s="1479"/>
    </row>
    <row r="9" spans="1:8" ht="21">
      <c r="B9" s="1186" t="s">
        <v>1006</v>
      </c>
    </row>
    <row r="27" spans="2:20" ht="15" customHeight="1">
      <c r="B27" s="455" t="s">
        <v>1007</v>
      </c>
      <c r="C27" s="456"/>
      <c r="D27" s="456"/>
      <c r="E27" s="456"/>
      <c r="F27" s="6"/>
      <c r="G27" s="7"/>
    </row>
    <row r="28" spans="2:20" ht="15" customHeight="1">
      <c r="B28" s="457"/>
      <c r="C28" s="388"/>
      <c r="D28" s="388"/>
      <c r="E28" s="388"/>
      <c r="F28" s="751"/>
      <c r="G28" s="8"/>
    </row>
    <row r="29" spans="2:20" ht="15" customHeight="1">
      <c r="B29" s="1920" t="s">
        <v>627</v>
      </c>
      <c r="C29" s="1306" t="s">
        <v>638</v>
      </c>
      <c r="D29" s="388"/>
      <c r="E29" s="388"/>
      <c r="F29" s="751"/>
      <c r="G29" s="8"/>
    </row>
    <row r="30" spans="2:20" ht="15" customHeight="1">
      <c r="B30" s="1360" t="s">
        <v>1013</v>
      </c>
      <c r="C30" s="1306">
        <v>10</v>
      </c>
      <c r="D30" s="388"/>
      <c r="E30" s="388"/>
      <c r="F30" s="751"/>
      <c r="G30" s="8"/>
      <c r="O30" s="1584"/>
    </row>
    <row r="31" spans="2:20" ht="15" customHeight="1">
      <c r="B31" s="1360" t="s">
        <v>1011</v>
      </c>
      <c r="C31" s="1306" t="s">
        <v>1012</v>
      </c>
      <c r="D31" s="388"/>
      <c r="E31" s="388"/>
      <c r="F31" s="751"/>
      <c r="G31" s="8"/>
    </row>
    <row r="32" spans="2:20" ht="15" customHeight="1">
      <c r="B32" s="740"/>
      <c r="C32" s="454"/>
      <c r="D32" s="388"/>
      <c r="E32" s="388"/>
      <c r="F32" s="751"/>
      <c r="G32" s="8"/>
      <c r="P32" s="1119"/>
      <c r="Q32" s="1119"/>
      <c r="R32" s="1119"/>
      <c r="S32" s="1119"/>
      <c r="T32" s="1119"/>
    </row>
    <row r="33" spans="2:20" ht="15" customHeight="1">
      <c r="B33" s="740"/>
      <c r="C33" s="1306" t="s">
        <v>1009</v>
      </c>
      <c r="D33" s="388"/>
      <c r="E33" s="388"/>
      <c r="F33" s="751"/>
      <c r="G33" s="8"/>
      <c r="P33" s="1918"/>
      <c r="Q33" s="1918"/>
      <c r="R33" s="1918"/>
      <c r="S33" s="1119"/>
      <c r="T33" s="1119"/>
    </row>
    <row r="34" spans="2:20" ht="15" customHeight="1">
      <c r="B34" s="1308" t="s">
        <v>1022</v>
      </c>
      <c r="C34" s="320" t="e">
        <f ca="1">_xll.BTP(B34,C33,"WMAVG",B29:B31,C29:C31)</f>
        <v>#NAME?</v>
      </c>
      <c r="D34" s="462" t="s">
        <v>1946</v>
      </c>
      <c r="E34" s="388"/>
      <c r="F34" s="751"/>
      <c r="G34" s="8"/>
      <c r="O34" s="1917"/>
      <c r="P34" s="1918"/>
      <c r="Q34" s="1918"/>
      <c r="R34" s="1918"/>
      <c r="S34" s="1119"/>
      <c r="T34" s="1119"/>
    </row>
    <row r="35" spans="2:20" ht="15" customHeight="1">
      <c r="B35" s="458"/>
      <c r="C35" s="390"/>
      <c r="D35" s="390"/>
      <c r="E35" s="9"/>
      <c r="F35" s="9"/>
      <c r="G35" s="10"/>
      <c r="O35" s="1917"/>
      <c r="P35" s="1918"/>
      <c r="Q35" s="1918"/>
      <c r="R35" s="1918"/>
      <c r="S35" s="1119"/>
      <c r="T35" s="1119"/>
    </row>
    <row r="36" spans="2:20" ht="15" customHeight="1">
      <c r="B36" s="1917"/>
      <c r="C36" s="1694"/>
      <c r="D36" s="1694"/>
      <c r="E36" s="1694"/>
      <c r="O36" s="1917"/>
      <c r="P36" s="1918"/>
      <c r="Q36" s="1918"/>
      <c r="R36" s="1918"/>
      <c r="S36" s="1119"/>
      <c r="T36" s="1119"/>
    </row>
    <row r="37" spans="2:20" ht="15" customHeight="1">
      <c r="B37" s="455" t="s">
        <v>1010</v>
      </c>
      <c r="C37" s="456"/>
      <c r="D37" s="456"/>
      <c r="E37" s="456"/>
      <c r="F37" s="6"/>
      <c r="G37" s="7"/>
      <c r="O37" s="1917"/>
      <c r="P37" s="1918"/>
      <c r="Q37" s="1918"/>
      <c r="R37" s="1918"/>
      <c r="S37" s="1119"/>
      <c r="T37" s="1119"/>
    </row>
    <row r="38" spans="2:20" ht="15" customHeight="1">
      <c r="B38" s="457"/>
      <c r="C38" s="388"/>
      <c r="D38" s="388"/>
      <c r="E38" s="388"/>
      <c r="F38" s="751"/>
      <c r="G38" s="8"/>
      <c r="O38" s="1917"/>
      <c r="P38" s="1918"/>
      <c r="Q38" s="1918"/>
      <c r="R38" s="1918"/>
      <c r="S38" s="1119"/>
      <c r="T38" s="1119"/>
    </row>
    <row r="39" spans="2:20" ht="15" customHeight="1">
      <c r="B39" s="1921" t="s">
        <v>1015</v>
      </c>
      <c r="C39" s="1306" t="s">
        <v>1014</v>
      </c>
      <c r="D39" s="751"/>
      <c r="E39" s="751"/>
      <c r="F39" s="751"/>
      <c r="G39" s="8"/>
      <c r="O39" s="1917"/>
      <c r="P39" s="1918"/>
      <c r="Q39" s="1918"/>
      <c r="R39" s="1918"/>
      <c r="S39" s="1119"/>
      <c r="T39" s="1119"/>
    </row>
    <row r="40" spans="2:20" ht="15" customHeight="1">
      <c r="B40" s="1306" t="s">
        <v>1018</v>
      </c>
      <c r="C40" s="1306">
        <v>12</v>
      </c>
      <c r="D40" s="751"/>
      <c r="E40" s="751"/>
      <c r="F40" s="751"/>
      <c r="G40" s="8"/>
      <c r="O40" s="1917"/>
      <c r="P40" s="1918"/>
      <c r="Q40" s="1918"/>
      <c r="R40" s="1918"/>
      <c r="S40" s="1119"/>
      <c r="T40" s="1119"/>
    </row>
    <row r="41" spans="2:20" ht="15" customHeight="1">
      <c r="B41" s="1306" t="s">
        <v>1019</v>
      </c>
      <c r="C41" s="1306">
        <v>26</v>
      </c>
      <c r="D41" s="388"/>
      <c r="E41" s="388"/>
      <c r="F41" s="751"/>
      <c r="G41" s="8"/>
      <c r="O41" s="1917"/>
      <c r="P41" s="1918"/>
      <c r="Q41" s="1918"/>
      <c r="R41" s="1918"/>
      <c r="S41" s="1119"/>
      <c r="T41" s="1119"/>
    </row>
    <row r="42" spans="2:20" ht="15" customHeight="1">
      <c r="B42" s="1306" t="s">
        <v>1020</v>
      </c>
      <c r="C42" s="1306">
        <v>9</v>
      </c>
      <c r="D42" s="388"/>
      <c r="E42" s="388"/>
      <c r="F42" s="751"/>
      <c r="G42" s="8"/>
      <c r="O42" s="1917"/>
      <c r="P42" s="1918"/>
      <c r="Q42" s="1918"/>
      <c r="R42" s="1918"/>
      <c r="S42" s="1119"/>
      <c r="T42" s="1119"/>
    </row>
    <row r="43" spans="2:20" ht="15" customHeight="1">
      <c r="B43" s="1306" t="s">
        <v>1011</v>
      </c>
      <c r="C43" s="1306" t="s">
        <v>1012</v>
      </c>
      <c r="D43" s="388"/>
      <c r="E43" s="388"/>
      <c r="F43" s="751"/>
      <c r="G43" s="8"/>
      <c r="O43" s="1917"/>
      <c r="P43" s="1918"/>
      <c r="Q43" s="1918"/>
      <c r="R43" s="1918"/>
      <c r="S43" s="1119"/>
      <c r="T43" s="1119"/>
    </row>
    <row r="44" spans="2:20" ht="15" customHeight="1">
      <c r="B44" s="1306" t="s">
        <v>627</v>
      </c>
      <c r="C44" s="1306" t="s">
        <v>638</v>
      </c>
      <c r="D44" s="388"/>
      <c r="E44" s="388"/>
      <c r="F44" s="751"/>
      <c r="G44" s="8"/>
      <c r="O44" s="1917"/>
      <c r="P44" s="1918"/>
      <c r="Q44" s="1918"/>
      <c r="R44" s="1918"/>
      <c r="S44" s="1119"/>
      <c r="T44" s="1119"/>
    </row>
    <row r="45" spans="2:20" ht="15" customHeight="1">
      <c r="B45" s="460"/>
      <c r="C45" s="271"/>
      <c r="D45" s="388"/>
      <c r="E45" s="388"/>
      <c r="F45" s="751"/>
      <c r="G45" s="8"/>
      <c r="O45" s="1917"/>
      <c r="P45" s="1918"/>
      <c r="Q45" s="1918"/>
      <c r="R45" s="1918"/>
      <c r="S45" s="1119"/>
      <c r="T45" s="1119"/>
    </row>
    <row r="46" spans="2:20" ht="15" customHeight="1">
      <c r="B46" s="457"/>
      <c r="C46" s="462" t="s">
        <v>1947</v>
      </c>
      <c r="D46" s="388"/>
      <c r="E46" s="388"/>
      <c r="F46" s="751"/>
      <c r="G46" s="8"/>
      <c r="O46" s="1917"/>
      <c r="P46" s="1918"/>
      <c r="Q46" s="1918"/>
      <c r="R46" s="1918"/>
      <c r="S46" s="1119"/>
      <c r="T46" s="1119"/>
    </row>
    <row r="47" spans="2:20" ht="15" customHeight="1">
      <c r="B47" s="387"/>
      <c r="C47" s="1868" t="s">
        <v>1014</v>
      </c>
      <c r="D47" s="1868" t="s">
        <v>1016</v>
      </c>
      <c r="E47" s="1868" t="s">
        <v>1017</v>
      </c>
      <c r="F47" s="751"/>
      <c r="G47" s="8"/>
      <c r="O47" s="1917"/>
      <c r="P47" s="1918"/>
      <c r="Q47" s="1918"/>
      <c r="R47" s="1918"/>
      <c r="S47" s="1119"/>
      <c r="T47" s="1119"/>
    </row>
    <row r="48" spans="2:20" ht="15" customHeight="1">
      <c r="B48" s="1308" t="s">
        <v>1021</v>
      </c>
      <c r="C48" s="463" t="e">
        <f ca="1">_xll.BTP($B48,C$47,$C$39,$B$40:$B$44,$C$40:$C$44)</f>
        <v>#NAME?</v>
      </c>
      <c r="D48" s="1868" t="e">
        <f ca="1">_xll.BTP($B48,D$47,$C$39,$B$40:$B$44,$C$40:$C$44)</f>
        <v>#NAME?</v>
      </c>
      <c r="E48" s="1868" t="e">
        <f ca="1">_xll.BTP($B48,E$47,$C$39,$B$40:$B$44,$C$40:$C$44)</f>
        <v>#NAME?</v>
      </c>
      <c r="F48" s="751"/>
      <c r="G48" s="8"/>
      <c r="O48" s="1917"/>
      <c r="P48" s="1918"/>
      <c r="Q48" s="1918"/>
      <c r="R48" s="1918"/>
      <c r="S48" s="1119"/>
      <c r="T48" s="1119"/>
    </row>
    <row r="49" spans="2:20" ht="15" customHeight="1">
      <c r="B49" s="459"/>
      <c r="C49" s="9"/>
      <c r="D49" s="9"/>
      <c r="E49" s="9"/>
      <c r="F49" s="9"/>
      <c r="G49" s="10"/>
      <c r="O49" s="1917"/>
      <c r="P49" s="1918"/>
      <c r="Q49" s="1918"/>
      <c r="R49" s="1918"/>
      <c r="S49" s="1119"/>
      <c r="T49" s="1119"/>
    </row>
    <row r="50" spans="2:20" ht="15" customHeight="1">
      <c r="O50" s="1917"/>
      <c r="P50" s="1918"/>
      <c r="Q50" s="1918"/>
      <c r="R50" s="1918"/>
      <c r="S50" s="1119"/>
      <c r="T50" s="1119"/>
    </row>
    <row r="51" spans="2:20" ht="15" customHeight="1">
      <c r="O51" s="1917"/>
      <c r="P51" s="1918"/>
      <c r="Q51" s="1918"/>
      <c r="R51" s="1918"/>
      <c r="S51" s="1119"/>
      <c r="T51" s="1119"/>
    </row>
    <row r="52" spans="2:20" ht="15" customHeight="1">
      <c r="B52" s="1186" t="s">
        <v>1914</v>
      </c>
      <c r="O52" s="1917"/>
      <c r="P52" s="1918"/>
      <c r="Q52" s="1918"/>
      <c r="R52" s="1918"/>
      <c r="S52" s="1119"/>
      <c r="T52" s="1119"/>
    </row>
    <row r="53" spans="2:20" ht="15" customHeight="1">
      <c r="B53" s="1917" t="s">
        <v>1873</v>
      </c>
      <c r="O53" s="1917"/>
      <c r="P53" s="1918"/>
      <c r="Q53" s="1918"/>
      <c r="R53" s="1918"/>
      <c r="S53" s="1119"/>
      <c r="T53" s="1119"/>
    </row>
    <row r="54" spans="2:20" ht="15" customHeight="1">
      <c r="O54" s="1917"/>
      <c r="P54" s="1918"/>
      <c r="Q54" s="1918"/>
      <c r="R54" s="1918"/>
      <c r="S54" s="1119"/>
      <c r="T54" s="1119"/>
    </row>
    <row r="55" spans="2:20" ht="15" customHeight="1">
      <c r="O55" s="1917"/>
      <c r="P55" s="1918"/>
      <c r="Q55" s="1918"/>
      <c r="R55" s="1918"/>
      <c r="S55" s="1119"/>
      <c r="T55" s="1119"/>
    </row>
    <row r="56" spans="2:20" ht="15" customHeight="1">
      <c r="O56" s="1917"/>
      <c r="P56" s="1918"/>
      <c r="Q56" s="1918"/>
      <c r="R56" s="1918"/>
      <c r="S56" s="1119"/>
      <c r="T56" s="1119"/>
    </row>
    <row r="57" spans="2:20" ht="15" customHeight="1">
      <c r="O57" s="1917"/>
      <c r="P57" s="1918"/>
      <c r="Q57" s="1918"/>
      <c r="R57" s="1918"/>
      <c r="S57" s="1119"/>
      <c r="T57" s="1119"/>
    </row>
    <row r="58" spans="2:20" ht="15" customHeight="1">
      <c r="O58" s="1917"/>
      <c r="P58" s="1918"/>
      <c r="Q58" s="1918"/>
      <c r="R58" s="1918"/>
      <c r="S58" s="1119"/>
      <c r="T58" s="1119"/>
    </row>
    <row r="59" spans="2:20" ht="15" customHeight="1">
      <c r="O59" s="1917"/>
      <c r="P59" s="1918"/>
      <c r="Q59" s="1918"/>
      <c r="R59" s="1918"/>
      <c r="S59" s="1119"/>
      <c r="T59" s="1119"/>
    </row>
    <row r="60" spans="2:20" ht="15" customHeight="1">
      <c r="O60" s="1917"/>
      <c r="P60" s="1918"/>
      <c r="Q60" s="1918"/>
      <c r="R60" s="1918"/>
      <c r="S60" s="1119"/>
      <c r="T60" s="1119"/>
    </row>
    <row r="61" spans="2:20" ht="15" customHeight="1">
      <c r="O61" s="1917"/>
      <c r="P61" s="1918"/>
      <c r="Q61" s="1918"/>
      <c r="R61" s="1918"/>
      <c r="S61" s="1119"/>
      <c r="T61" s="1119"/>
    </row>
    <row r="62" spans="2:20" ht="15" customHeight="1">
      <c r="O62" s="1917"/>
      <c r="P62" s="1918"/>
      <c r="Q62" s="1918"/>
      <c r="R62" s="1918"/>
      <c r="S62" s="1119"/>
      <c r="T62" s="1119"/>
    </row>
    <row r="63" spans="2:20" ht="15" customHeight="1">
      <c r="O63" s="1917"/>
      <c r="P63" s="1918"/>
      <c r="Q63" s="1918"/>
      <c r="R63" s="1918"/>
      <c r="S63" s="1119"/>
      <c r="T63" s="1119"/>
    </row>
    <row r="64" spans="2:20" ht="15" customHeight="1">
      <c r="O64" s="1917"/>
      <c r="P64" s="1918"/>
      <c r="Q64" s="1918"/>
      <c r="R64" s="1918"/>
      <c r="S64" s="1119"/>
      <c r="T64" s="1119"/>
    </row>
    <row r="65" spans="9:20" ht="15" customHeight="1">
      <c r="O65" s="1917"/>
      <c r="P65" s="1918"/>
      <c r="Q65" s="1918"/>
      <c r="R65" s="1918"/>
      <c r="S65" s="1119"/>
      <c r="T65" s="1119"/>
    </row>
    <row r="66" spans="9:20" ht="15" customHeight="1">
      <c r="O66" s="1917"/>
      <c r="P66" s="1918"/>
      <c r="Q66" s="1918"/>
      <c r="R66" s="1918"/>
      <c r="S66" s="1119"/>
      <c r="T66" s="1119"/>
    </row>
    <row r="78" spans="9:20" ht="15" customHeight="1">
      <c r="I78" s="1584"/>
      <c r="J78" s="1119"/>
      <c r="K78" s="1119"/>
      <c r="L78" s="1119"/>
      <c r="M78" s="1119"/>
      <c r="N78" s="1119"/>
    </row>
    <row r="79" spans="9:20" ht="15" customHeight="1">
      <c r="I79" s="1584"/>
      <c r="J79" s="1119"/>
      <c r="K79" s="1119"/>
      <c r="L79" s="1119"/>
      <c r="M79" s="1119"/>
      <c r="N79" s="1119"/>
    </row>
    <row r="80" spans="9:20" ht="15" customHeight="1">
      <c r="I80" s="1584"/>
      <c r="J80" s="1119"/>
      <c r="K80" s="1119"/>
      <c r="L80" s="1119"/>
      <c r="M80" s="1119"/>
      <c r="N80" s="1119"/>
    </row>
    <row r="81" spans="9:14" ht="15" customHeight="1">
      <c r="I81" s="1584"/>
      <c r="J81" s="1119"/>
      <c r="K81" s="1119"/>
      <c r="L81" s="1119"/>
      <c r="M81" s="1119"/>
      <c r="N81" s="1119"/>
    </row>
    <row r="82" spans="9:14" ht="15" customHeight="1">
      <c r="I82" s="1584"/>
      <c r="J82" s="1119"/>
      <c r="K82" s="1119"/>
      <c r="L82" s="1119"/>
      <c r="M82" s="1119"/>
      <c r="N82" s="1119"/>
    </row>
    <row r="83" spans="9:14" ht="15" customHeight="1">
      <c r="I83" s="1584"/>
      <c r="J83" s="1119"/>
      <c r="K83" s="1119"/>
      <c r="L83" s="1119"/>
      <c r="M83" s="1119"/>
      <c r="N83" s="1119"/>
    </row>
    <row r="84" spans="9:14" ht="15" customHeight="1">
      <c r="I84" s="1584"/>
      <c r="J84" s="1119"/>
      <c r="K84" s="1119"/>
      <c r="L84" s="1119"/>
      <c r="M84" s="1119"/>
      <c r="N84" s="1119"/>
    </row>
    <row r="85" spans="9:14" ht="15" customHeight="1">
      <c r="I85" s="1919"/>
      <c r="J85" s="1119"/>
      <c r="K85" s="1119"/>
      <c r="L85" s="1119"/>
      <c r="M85" s="1119"/>
      <c r="N85" s="1119"/>
    </row>
    <row r="86" spans="9:14" ht="15" customHeight="1">
      <c r="I86" s="1584"/>
      <c r="J86" s="1119"/>
      <c r="K86" s="1119"/>
      <c r="L86" s="1119"/>
      <c r="M86" s="1119"/>
      <c r="N86" s="1119"/>
    </row>
    <row r="107" spans="2:2" ht="15" customHeight="1">
      <c r="B107" s="1191"/>
    </row>
    <row r="108" spans="2:2" ht="16.5" customHeight="1"/>
    <row r="109" spans="2:2" ht="16.5" customHeight="1"/>
    <row r="110" spans="2:2" ht="16.5" customHeight="1"/>
    <row r="111" spans="2:2" ht="16.5" customHeight="1"/>
    <row r="112" spans="2:2" ht="16.5" customHeight="1"/>
    <row r="113" ht="16.5" customHeight="1"/>
    <row r="114" ht="16.5" customHeight="1"/>
    <row r="115" ht="16.5" customHeight="1"/>
    <row r="116" ht="16.5" customHeight="1"/>
    <row r="117" ht="16.5" customHeight="1"/>
    <row r="118" ht="16.5" customHeight="1"/>
    <row r="119" ht="16.5" customHeight="1"/>
    <row r="120" ht="16.5" customHeight="1"/>
    <row r="121" ht="16.5" customHeight="1"/>
    <row r="122" ht="16.5" customHeight="1"/>
    <row r="123" ht="16.5" customHeight="1"/>
    <row r="124" ht="16.5" customHeight="1"/>
    <row r="125" ht="16.5" customHeight="1"/>
    <row r="126" ht="16.5" customHeight="1"/>
    <row r="127" ht="16.5" customHeight="1"/>
    <row r="128" ht="16.5" customHeight="1"/>
    <row r="129" ht="16.5" customHeight="1"/>
    <row r="130" ht="16.5" customHeight="1"/>
    <row r="131" ht="16.5" customHeight="1"/>
    <row r="132" ht="16.5" customHeight="1"/>
    <row r="133" ht="16.5" customHeight="1"/>
    <row r="134" ht="16.5" customHeight="1"/>
    <row r="135" ht="16.5" customHeight="1"/>
    <row r="136" ht="16.5" customHeight="1"/>
    <row r="137" ht="16.5" customHeight="1"/>
    <row r="138" ht="16.5" customHeight="1"/>
    <row r="139" ht="16.5" customHeight="1"/>
    <row r="140" ht="16.5" customHeight="1"/>
    <row r="141" ht="16.5" customHeight="1"/>
    <row r="142" ht="16.5" customHeight="1"/>
    <row r="143" ht="16.5" customHeight="1"/>
    <row r="144" ht="16.5" customHeight="1"/>
    <row r="145" ht="16.5" customHeight="1"/>
    <row r="146" ht="16.5" customHeight="1"/>
    <row r="147" ht="16.5" customHeight="1"/>
    <row r="148" ht="16.5" customHeight="1"/>
    <row r="149" ht="16.5" customHeight="1"/>
    <row r="150" ht="16.5" customHeight="1"/>
    <row r="151" ht="16.5" customHeight="1"/>
    <row r="152" ht="16.5" customHeight="1"/>
    <row r="153" ht="16.5" customHeight="1"/>
    <row r="154" ht="16.5" customHeight="1"/>
    <row r="155" ht="16.5" customHeight="1"/>
    <row r="156" ht="16.5" customHeight="1"/>
    <row r="157" ht="16.5" customHeight="1"/>
    <row r="158" ht="16.5" customHeight="1"/>
    <row r="159" ht="16.5" customHeight="1"/>
    <row r="160" ht="16.5" customHeight="1"/>
    <row r="161" ht="16.5" customHeight="1"/>
    <row r="162" ht="16.5" customHeight="1"/>
    <row r="163" ht="16.5" customHeight="1"/>
    <row r="164" ht="16.5" customHeight="1"/>
    <row r="165" ht="16.5" customHeight="1"/>
    <row r="166" ht="16.5" customHeight="1"/>
    <row r="167" ht="16.5" customHeight="1"/>
    <row r="168" ht="16.5" customHeight="1"/>
    <row r="169" ht="16.5" customHeight="1"/>
    <row r="170" ht="16.5" customHeight="1"/>
    <row r="171" ht="16.5" customHeight="1"/>
    <row r="172" ht="16.5" customHeight="1"/>
    <row r="173" ht="16.5" customHeight="1"/>
    <row r="174" ht="16.5" customHeight="1"/>
    <row r="175" ht="16.5" customHeight="1"/>
    <row r="176" ht="16.5" customHeight="1"/>
    <row r="177" ht="16.5" customHeight="1"/>
    <row r="178" ht="16.5" customHeight="1"/>
    <row r="179" ht="16.5" customHeight="1"/>
    <row r="180" ht="16.5" customHeight="1"/>
    <row r="181" ht="16.5" customHeight="1"/>
    <row r="182" ht="16.5" customHeight="1"/>
    <row r="183" ht="16.5" customHeight="1"/>
    <row r="184" ht="16.5" customHeight="1"/>
    <row r="185" ht="16.5" customHeight="1"/>
    <row r="186" ht="16.5" customHeight="1"/>
    <row r="187" ht="16.5" customHeight="1"/>
    <row r="188" ht="16.5" customHeight="1"/>
    <row r="189" ht="16.5" customHeight="1"/>
    <row r="190" ht="16.5" customHeight="1"/>
    <row r="191" ht="16.5" customHeight="1"/>
    <row r="192" ht="16.5" customHeight="1"/>
    <row r="193" ht="16.5" customHeight="1"/>
    <row r="194" ht="16.5" customHeight="1"/>
    <row r="195" ht="16.5" customHeight="1"/>
    <row r="196" ht="16.5" customHeight="1"/>
    <row r="197" ht="16.5" customHeight="1"/>
    <row r="198" ht="16.5" customHeight="1"/>
    <row r="199" ht="16.5" customHeight="1"/>
    <row r="200" ht="16.5" customHeight="1"/>
    <row r="201" ht="16.5" customHeight="1"/>
    <row r="202" ht="16.5" customHeight="1"/>
    <row r="203" ht="16.5" customHeight="1"/>
    <row r="204" ht="16.5" customHeight="1"/>
    <row r="205" ht="16.5" customHeight="1"/>
    <row r="206" ht="16.5" customHeight="1"/>
    <row r="207" ht="16.5" customHeight="1"/>
    <row r="208" ht="16.5" customHeight="1"/>
    <row r="209" ht="16.5" customHeight="1"/>
    <row r="210" ht="16.5" customHeight="1"/>
    <row r="211" ht="16.5" customHeight="1"/>
  </sheetData>
  <phoneticPr fontId="159"/>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FF00"/>
  </sheetPr>
  <dimension ref="A1:K177"/>
  <sheetViews>
    <sheetView zoomScale="90" zoomScaleNormal="90" workbookViewId="0"/>
  </sheetViews>
  <sheetFormatPr baseColWidth="10" defaultColWidth="9" defaultRowHeight="15" customHeight="1"/>
  <cols>
    <col min="1" max="1" width="3.7109375" style="1117" customWidth="1"/>
    <col min="2" max="2" width="17.85546875" style="1117" customWidth="1"/>
    <col min="3" max="3" width="26.42578125" style="1117" customWidth="1"/>
    <col min="4" max="6" width="17.85546875" style="1117" customWidth="1"/>
    <col min="7" max="7" width="21.5703125" style="1117" customWidth="1"/>
    <col min="8" max="8" width="17.85546875" style="1117" customWidth="1"/>
    <col min="9" max="9" width="19.42578125" style="1117" customWidth="1"/>
    <col min="10" max="10" width="20.42578125" style="1117" customWidth="1"/>
    <col min="11" max="11" width="19.28515625" style="1117" customWidth="1"/>
    <col min="12" max="12" width="19.5703125" style="1117" customWidth="1"/>
    <col min="13" max="16384" width="9" style="1117"/>
  </cols>
  <sheetData>
    <row r="1" spans="1:7" ht="17.25" customHeight="1">
      <c r="A1" s="1154"/>
    </row>
    <row r="5" spans="1:7" ht="21">
      <c r="B5" s="1186" t="s">
        <v>1023</v>
      </c>
    </row>
    <row r="6" spans="1:7" ht="15" customHeight="1">
      <c r="B6" s="1916" t="s">
        <v>1024</v>
      </c>
    </row>
    <row r="7" spans="1:7" ht="15" customHeight="1">
      <c r="B7" s="1479" t="s">
        <v>30</v>
      </c>
    </row>
    <row r="9" spans="1:7" ht="21">
      <c r="B9" s="1186" t="s">
        <v>1006</v>
      </c>
    </row>
    <row r="10" spans="1:7">
      <c r="B10" s="1584"/>
      <c r="C10" s="1119"/>
      <c r="D10" s="1119"/>
      <c r="E10" s="1119"/>
      <c r="F10" s="1119"/>
      <c r="G10" s="1119"/>
    </row>
    <row r="11" spans="1:7">
      <c r="B11" s="1584"/>
      <c r="C11" s="1119"/>
      <c r="D11" s="1119"/>
      <c r="E11" s="1119"/>
      <c r="F11" s="1119"/>
      <c r="G11" s="1119"/>
    </row>
    <row r="12" spans="1:7">
      <c r="B12" s="1584"/>
      <c r="C12" s="1119"/>
      <c r="D12" s="1119"/>
      <c r="E12" s="1119"/>
      <c r="F12" s="1119"/>
      <c r="G12" s="1119"/>
    </row>
    <row r="13" spans="1:7">
      <c r="B13" s="1584"/>
      <c r="C13" s="1119"/>
      <c r="D13" s="1119"/>
      <c r="E13" s="1119"/>
      <c r="F13" s="1119"/>
      <c r="G13" s="1119"/>
    </row>
    <row r="14" spans="1:7">
      <c r="B14" s="1584"/>
      <c r="C14" s="1119"/>
      <c r="D14" s="1119"/>
      <c r="E14" s="1119"/>
      <c r="F14" s="1119"/>
      <c r="G14" s="1119"/>
    </row>
    <row r="15" spans="1:7">
      <c r="B15" s="1584"/>
      <c r="C15" s="1119"/>
      <c r="D15" s="1119"/>
      <c r="E15" s="1119"/>
      <c r="F15" s="1119"/>
      <c r="G15" s="1119"/>
    </row>
    <row r="16" spans="1:7">
      <c r="B16" s="1584"/>
      <c r="C16" s="1119"/>
      <c r="D16" s="1119"/>
      <c r="E16" s="1119"/>
      <c r="F16" s="1119"/>
      <c r="G16" s="1119"/>
    </row>
    <row r="17" spans="2:7">
      <c r="B17" s="1584"/>
      <c r="C17" s="1119"/>
      <c r="D17" s="1119"/>
      <c r="E17" s="1119"/>
      <c r="F17" s="1119"/>
      <c r="G17" s="1119"/>
    </row>
    <row r="18" spans="2:7">
      <c r="B18" s="1584"/>
      <c r="C18" s="1119"/>
      <c r="D18" s="1119"/>
      <c r="E18" s="1119"/>
      <c r="F18" s="1119"/>
      <c r="G18" s="1119"/>
    </row>
    <row r="19" spans="2:7">
      <c r="B19" s="1584"/>
      <c r="C19" s="1119"/>
      <c r="D19" s="1119"/>
      <c r="E19" s="1119"/>
      <c r="F19" s="1119"/>
      <c r="G19" s="1119"/>
    </row>
    <row r="20" spans="2:7">
      <c r="B20" s="1584"/>
      <c r="C20" s="1119"/>
      <c r="D20" s="1119"/>
      <c r="E20" s="1119"/>
      <c r="F20" s="1119"/>
      <c r="G20" s="1119"/>
    </row>
    <row r="21" spans="2:7">
      <c r="B21" s="1584"/>
      <c r="C21" s="1119"/>
      <c r="D21" s="1119"/>
      <c r="E21" s="1119"/>
      <c r="F21" s="1119"/>
      <c r="G21" s="1119"/>
    </row>
    <row r="22" spans="2:7">
      <c r="B22" s="1584"/>
      <c r="C22" s="1119"/>
      <c r="D22" s="1119"/>
      <c r="E22" s="1119"/>
      <c r="F22" s="1119"/>
      <c r="G22" s="1119"/>
    </row>
    <row r="23" spans="2:7">
      <c r="B23" s="1584"/>
      <c r="C23" s="1119"/>
      <c r="D23" s="1119"/>
      <c r="E23" s="1119"/>
      <c r="F23" s="1119"/>
      <c r="G23" s="1119"/>
    </row>
    <row r="24" spans="2:7">
      <c r="B24" s="1584"/>
      <c r="C24" s="1119"/>
      <c r="D24" s="1119"/>
      <c r="E24" s="1119"/>
      <c r="F24" s="1119"/>
      <c r="G24" s="1119"/>
    </row>
    <row r="25" spans="2:7">
      <c r="B25" s="1584"/>
      <c r="C25" s="1119"/>
      <c r="D25" s="1119"/>
      <c r="E25" s="1119"/>
      <c r="F25" s="1119"/>
      <c r="G25" s="1119"/>
    </row>
    <row r="26" spans="2:7">
      <c r="B26" s="1584"/>
      <c r="C26" s="1119"/>
      <c r="D26" s="1119"/>
      <c r="E26" s="1119"/>
      <c r="F26" s="1119"/>
      <c r="G26" s="1119"/>
    </row>
    <row r="27" spans="2:7">
      <c r="B27" s="455" t="s">
        <v>1026</v>
      </c>
      <c r="C27" s="456"/>
      <c r="D27" s="456"/>
      <c r="E27" s="456"/>
      <c r="F27" s="6"/>
      <c r="G27" s="7"/>
    </row>
    <row r="28" spans="2:7">
      <c r="B28" s="458"/>
      <c r="C28" s="390"/>
      <c r="D28" s="388"/>
      <c r="E28" s="388"/>
      <c r="F28" s="751"/>
      <c r="G28" s="8"/>
    </row>
    <row r="29" spans="2:7" ht="17.25" customHeight="1">
      <c r="B29" s="1929" t="s">
        <v>1027</v>
      </c>
      <c r="C29" s="1925" t="s">
        <v>1008</v>
      </c>
      <c r="D29" s="388"/>
      <c r="E29" s="702" t="s">
        <v>1875</v>
      </c>
      <c r="F29" s="751"/>
      <c r="G29" s="8"/>
    </row>
    <row r="30" spans="2:7" ht="15" customHeight="1">
      <c r="B30" s="1929" t="s">
        <v>1028</v>
      </c>
      <c r="C30" s="1926" t="s">
        <v>1025</v>
      </c>
      <c r="D30" s="388"/>
      <c r="E30" s="1868" t="s">
        <v>389</v>
      </c>
      <c r="F30" s="1868" t="s">
        <v>1037</v>
      </c>
      <c r="G30" s="8"/>
    </row>
    <row r="31" spans="2:7" ht="15" customHeight="1">
      <c r="B31" s="1929" t="s">
        <v>387</v>
      </c>
      <c r="C31" s="1927">
        <f ca="1">TODAY()-14</f>
        <v>43728</v>
      </c>
      <c r="D31" s="388"/>
      <c r="E31" s="464" t="e">
        <f>_xll.BTH($C$29,$C$30:$C$30,C31,C32,"SMAVG",B33:B40,C33:C40,"cols=2;rows=9")</f>
        <v>#N/A</v>
      </c>
      <c r="F31" s="404">
        <v>113.47799999999999</v>
      </c>
      <c r="G31" s="8"/>
    </row>
    <row r="32" spans="2:7" ht="15" customHeight="1">
      <c r="B32" s="1922" t="s">
        <v>388</v>
      </c>
      <c r="C32" s="1927">
        <f ca="1">TODAY()-1</f>
        <v>43741</v>
      </c>
      <c r="D32" s="388"/>
      <c r="E32" s="296">
        <v>43376</v>
      </c>
      <c r="F32" s="404">
        <v>113.83799999999999</v>
      </c>
      <c r="G32" s="8"/>
    </row>
    <row r="33" spans="2:11" ht="15" customHeight="1">
      <c r="B33" s="1928" t="s">
        <v>1013</v>
      </c>
      <c r="C33" s="1306">
        <v>5</v>
      </c>
      <c r="D33" s="388"/>
      <c r="E33" s="296">
        <v>43377</v>
      </c>
      <c r="F33" s="404">
        <v>113.94399999999999</v>
      </c>
      <c r="G33" s="8"/>
    </row>
    <row r="34" spans="2:11" ht="15" customHeight="1">
      <c r="B34" s="1306" t="s">
        <v>1011</v>
      </c>
      <c r="C34" s="1306" t="s">
        <v>1029</v>
      </c>
      <c r="D34" s="388"/>
      <c r="E34" s="296">
        <v>43378</v>
      </c>
      <c r="F34" s="404">
        <v>113.94800000000001</v>
      </c>
      <c r="G34" s="8"/>
    </row>
    <row r="35" spans="2:11" ht="15" customHeight="1">
      <c r="B35" s="1306" t="s">
        <v>632</v>
      </c>
      <c r="C35" s="1308" t="s">
        <v>1038</v>
      </c>
      <c r="D35" s="388"/>
      <c r="E35" s="296">
        <v>43382</v>
      </c>
      <c r="F35" s="404">
        <v>113.75400000000002</v>
      </c>
      <c r="G35" s="8"/>
    </row>
    <row r="36" spans="2:11" ht="15" customHeight="1">
      <c r="B36" s="1306" t="s">
        <v>1030</v>
      </c>
      <c r="C36" s="1306" t="s">
        <v>1031</v>
      </c>
      <c r="D36" s="388"/>
      <c r="E36" s="296">
        <v>43383</v>
      </c>
      <c r="F36" s="404">
        <v>113.47799999999999</v>
      </c>
      <c r="G36" s="8"/>
    </row>
    <row r="37" spans="2:11" ht="15" customHeight="1">
      <c r="B37" s="1306" t="s">
        <v>1032</v>
      </c>
      <c r="C37" s="1306" t="s">
        <v>348</v>
      </c>
      <c r="D37" s="461"/>
      <c r="E37" s="296">
        <v>43384</v>
      </c>
      <c r="F37" s="404">
        <v>113.00399999999999</v>
      </c>
      <c r="G37" s="8"/>
    </row>
    <row r="38" spans="2:11">
      <c r="B38" s="1306" t="s">
        <v>495</v>
      </c>
      <c r="C38" s="1306" t="s">
        <v>1033</v>
      </c>
      <c r="D38" s="388"/>
      <c r="E38" s="296">
        <v>43385</v>
      </c>
      <c r="F38" s="404">
        <v>112.66400000000002</v>
      </c>
      <c r="G38" s="8"/>
    </row>
    <row r="39" spans="2:11" ht="15" customHeight="1">
      <c r="B39" s="1306" t="s">
        <v>627</v>
      </c>
      <c r="C39" s="1306" t="s">
        <v>1034</v>
      </c>
      <c r="D39" s="388"/>
      <c r="E39" s="296">
        <v>43388</v>
      </c>
      <c r="F39" s="404">
        <v>112.274</v>
      </c>
      <c r="G39" s="8"/>
    </row>
    <row r="40" spans="2:11" ht="15" customHeight="1">
      <c r="B40" s="1306" t="s">
        <v>1035</v>
      </c>
      <c r="C40" s="1306" t="s">
        <v>1036</v>
      </c>
      <c r="D40" s="388"/>
      <c r="E40" s="296"/>
      <c r="F40" s="404"/>
      <c r="G40" s="8"/>
    </row>
    <row r="41" spans="2:11" ht="15" customHeight="1">
      <c r="B41" s="466"/>
      <c r="C41" s="467"/>
      <c r="D41" s="388"/>
      <c r="E41" s="296"/>
      <c r="F41" s="1868"/>
      <c r="G41" s="8"/>
    </row>
    <row r="42" spans="2:11" ht="15" customHeight="1">
      <c r="B42" s="1923"/>
      <c r="C42" s="1924"/>
      <c r="D42" s="390"/>
      <c r="E42" s="465"/>
      <c r="F42" s="1871"/>
      <c r="G42" s="10"/>
    </row>
    <row r="44" spans="2:11" ht="15" customHeight="1">
      <c r="B44" s="1210"/>
      <c r="C44" s="1210"/>
      <c r="D44" s="1918"/>
      <c r="E44" s="1682"/>
      <c r="F44" s="2023"/>
      <c r="G44" s="1119"/>
    </row>
    <row r="45" spans="2:11" ht="15" customHeight="1">
      <c r="B45" s="1186" t="s">
        <v>1914</v>
      </c>
      <c r="E45" s="1584"/>
      <c r="F45" s="1119"/>
      <c r="G45" s="1119"/>
      <c r="H45" s="1119"/>
      <c r="I45" s="1119"/>
      <c r="J45" s="1119"/>
      <c r="K45" s="1119"/>
    </row>
    <row r="46" spans="2:11" ht="15" customHeight="1">
      <c r="B46" s="1917" t="s">
        <v>1874</v>
      </c>
      <c r="E46" s="1917"/>
      <c r="F46" s="1918"/>
      <c r="G46" s="1918"/>
      <c r="H46" s="1918"/>
      <c r="I46" s="1119"/>
      <c r="J46" s="1119"/>
      <c r="K46" s="1119"/>
    </row>
    <row r="47" spans="2:11" ht="15" customHeight="1">
      <c r="E47" s="1917"/>
      <c r="F47" s="1918"/>
      <c r="G47" s="1918"/>
      <c r="H47" s="1918"/>
      <c r="I47" s="1119"/>
      <c r="J47" s="1119"/>
      <c r="K47" s="1119"/>
    </row>
    <row r="48" spans="2:11" ht="15" customHeight="1">
      <c r="E48" s="1917"/>
      <c r="F48" s="1918"/>
      <c r="G48" s="1918"/>
      <c r="H48" s="1918"/>
      <c r="I48" s="1119"/>
      <c r="J48" s="1119"/>
      <c r="K48" s="1119"/>
    </row>
    <row r="49" spans="5:11" ht="15" customHeight="1">
      <c r="E49" s="1917"/>
      <c r="F49" s="1918"/>
      <c r="G49" s="1918"/>
      <c r="H49" s="1918"/>
      <c r="I49" s="1119"/>
      <c r="J49" s="1119"/>
      <c r="K49" s="1119"/>
    </row>
    <row r="50" spans="5:11" ht="15" customHeight="1">
      <c r="E50" s="1917"/>
      <c r="F50" s="1918"/>
      <c r="G50" s="1918"/>
      <c r="H50" s="1918"/>
      <c r="I50" s="1119"/>
      <c r="J50" s="1119"/>
      <c r="K50" s="1119"/>
    </row>
    <row r="51" spans="5:11" ht="15" customHeight="1">
      <c r="E51" s="1917"/>
      <c r="F51" s="1918"/>
      <c r="G51" s="1918"/>
      <c r="H51" s="1918"/>
      <c r="I51" s="1119"/>
      <c r="J51" s="1119"/>
      <c r="K51" s="1119"/>
    </row>
    <row r="52" spans="5:11" ht="15" customHeight="1">
      <c r="E52" s="1917"/>
      <c r="F52" s="1918"/>
      <c r="G52" s="1918"/>
      <c r="H52" s="1918"/>
      <c r="I52" s="1119"/>
      <c r="J52" s="1119"/>
      <c r="K52" s="1119"/>
    </row>
    <row r="53" spans="5:11" ht="15" customHeight="1">
      <c r="E53" s="1917"/>
      <c r="F53" s="1918"/>
      <c r="G53" s="1918"/>
      <c r="H53" s="1918"/>
      <c r="I53" s="1119"/>
      <c r="J53" s="1119"/>
      <c r="K53" s="1119"/>
    </row>
    <row r="54" spans="5:11" ht="15" customHeight="1">
      <c r="E54" s="1917"/>
      <c r="F54" s="1918"/>
      <c r="G54" s="1918"/>
      <c r="H54" s="1918"/>
      <c r="I54" s="1119"/>
      <c r="J54" s="1119"/>
      <c r="K54" s="1119"/>
    </row>
    <row r="55" spans="5:11" ht="15" customHeight="1">
      <c r="E55" s="1917"/>
      <c r="F55" s="1918"/>
      <c r="G55" s="1918"/>
      <c r="H55" s="1918"/>
      <c r="I55" s="1119"/>
      <c r="J55" s="1119"/>
      <c r="K55" s="1119"/>
    </row>
    <row r="56" spans="5:11" ht="15" customHeight="1">
      <c r="E56" s="1917"/>
      <c r="F56" s="1918"/>
      <c r="G56" s="1918"/>
      <c r="H56" s="1918"/>
      <c r="I56" s="1119"/>
      <c r="J56" s="1119"/>
      <c r="K56" s="1119"/>
    </row>
    <row r="57" spans="5:11" ht="15" customHeight="1">
      <c r="E57" s="1917"/>
      <c r="F57" s="1918"/>
      <c r="G57" s="1918"/>
      <c r="H57" s="1918"/>
      <c r="I57" s="1119"/>
      <c r="J57" s="1119"/>
      <c r="K57" s="1119"/>
    </row>
    <row r="58" spans="5:11" ht="15" customHeight="1">
      <c r="E58" s="1917"/>
      <c r="F58" s="1918"/>
      <c r="G58" s="1918"/>
      <c r="H58" s="1918"/>
      <c r="I58" s="1119"/>
      <c r="J58" s="1119"/>
      <c r="K58" s="1119"/>
    </row>
    <row r="59" spans="5:11" ht="15" customHeight="1">
      <c r="E59" s="1917"/>
      <c r="F59" s="1918"/>
      <c r="G59" s="1918"/>
      <c r="H59" s="1918"/>
      <c r="I59" s="1119"/>
      <c r="J59" s="1119"/>
      <c r="K59" s="1119"/>
    </row>
    <row r="60" spans="5:11" ht="15" customHeight="1">
      <c r="E60" s="1917"/>
      <c r="F60" s="1918"/>
      <c r="G60" s="1918"/>
      <c r="H60" s="1918"/>
      <c r="I60" s="1119"/>
      <c r="J60" s="1119"/>
      <c r="K60" s="1119"/>
    </row>
    <row r="61" spans="5:11" ht="15" customHeight="1">
      <c r="E61" s="1917"/>
      <c r="F61" s="1918"/>
      <c r="G61" s="1918"/>
      <c r="H61" s="1918"/>
      <c r="I61" s="1119"/>
      <c r="J61" s="1119"/>
      <c r="K61" s="1119"/>
    </row>
    <row r="62" spans="5:11" ht="15" customHeight="1">
      <c r="E62" s="1917"/>
      <c r="F62" s="1918"/>
      <c r="G62" s="1918"/>
      <c r="H62" s="1918"/>
      <c r="I62" s="1119"/>
      <c r="J62" s="1119"/>
      <c r="K62" s="1119"/>
    </row>
    <row r="63" spans="5:11" ht="15" customHeight="1">
      <c r="E63" s="1917"/>
      <c r="F63" s="1918"/>
      <c r="G63" s="1918"/>
      <c r="H63" s="1918"/>
      <c r="I63" s="1119"/>
      <c r="J63" s="1119"/>
      <c r="K63" s="1119"/>
    </row>
    <row r="64" spans="5:11" ht="15" customHeight="1">
      <c r="E64" s="1917"/>
      <c r="F64" s="1918"/>
      <c r="G64" s="1918"/>
      <c r="H64" s="1918"/>
      <c r="I64" s="1119"/>
      <c r="J64" s="1119"/>
      <c r="K64" s="1119"/>
    </row>
    <row r="65" spans="5:11" ht="15" customHeight="1">
      <c r="E65" s="1119"/>
      <c r="F65" s="1119"/>
      <c r="G65" s="1119"/>
      <c r="H65" s="1119"/>
      <c r="I65" s="1119"/>
      <c r="J65" s="1119"/>
      <c r="K65" s="1119"/>
    </row>
    <row r="66" spans="5:11" ht="15" customHeight="1">
      <c r="E66" s="1119"/>
      <c r="F66" s="1119"/>
      <c r="G66" s="1119"/>
      <c r="H66" s="1119"/>
      <c r="I66" s="1119"/>
      <c r="J66" s="1119"/>
      <c r="K66" s="1119"/>
    </row>
    <row r="67" spans="5:11" ht="15" customHeight="1">
      <c r="E67" s="1119"/>
      <c r="F67" s="1119"/>
      <c r="G67" s="1119"/>
      <c r="H67" s="1119"/>
      <c r="I67" s="1119"/>
      <c r="J67" s="1119"/>
      <c r="K67" s="1119"/>
    </row>
    <row r="68" spans="5:11" ht="15" customHeight="1">
      <c r="E68" s="1119"/>
      <c r="F68" s="1119"/>
      <c r="G68" s="1119"/>
      <c r="H68" s="1119"/>
      <c r="I68" s="1119"/>
      <c r="J68" s="1119"/>
      <c r="K68" s="1119"/>
    </row>
    <row r="73" spans="5:11" ht="16.5" customHeight="1"/>
    <row r="74" spans="5:11" ht="16.5" customHeight="1"/>
    <row r="75" spans="5:11" ht="16.5" customHeight="1"/>
    <row r="76" spans="5:11" ht="16.5" customHeight="1"/>
    <row r="77" spans="5:11" ht="16.5" customHeight="1"/>
    <row r="78" spans="5:11" ht="16.5" customHeight="1"/>
    <row r="79" spans="5:11" ht="16.5" customHeight="1"/>
    <row r="80" spans="5:11" ht="16.5" customHeight="1"/>
    <row r="81" ht="16.5" customHeight="1"/>
    <row r="82" ht="16.5" customHeight="1"/>
    <row r="83" ht="16.5" customHeight="1"/>
    <row r="84" ht="16.5" customHeight="1"/>
    <row r="85" ht="16.5" customHeight="1"/>
    <row r="86" ht="16.5" customHeight="1"/>
    <row r="87" ht="16.5" customHeight="1"/>
    <row r="88" ht="16.5" customHeight="1"/>
    <row r="89" ht="16.5" customHeight="1"/>
    <row r="90" ht="16.5" customHeight="1"/>
    <row r="91" ht="16.5" customHeight="1"/>
    <row r="92" ht="16.5" customHeight="1"/>
    <row r="93" ht="16.5" customHeight="1"/>
    <row r="94" ht="16.5" customHeight="1"/>
    <row r="95" ht="16.5" customHeight="1"/>
    <row r="96" ht="16.5" customHeight="1"/>
    <row r="97" ht="16.5" customHeight="1"/>
    <row r="98" ht="16.5" customHeight="1"/>
    <row r="99" ht="16.5" customHeight="1"/>
    <row r="100" ht="16.5" customHeight="1"/>
    <row r="101" ht="16.5" customHeight="1"/>
    <row r="102" ht="16.5" customHeight="1"/>
    <row r="103" ht="16.5" customHeight="1"/>
    <row r="104" ht="16.5" customHeight="1"/>
    <row r="105" ht="16.5" customHeight="1"/>
    <row r="106" ht="16.5" customHeight="1"/>
    <row r="107" ht="16.5" customHeight="1"/>
    <row r="108" ht="16.5" customHeight="1"/>
    <row r="109" ht="16.5" customHeight="1"/>
    <row r="110" ht="16.5" customHeight="1"/>
    <row r="111" ht="16.5" customHeight="1"/>
    <row r="112" ht="16.5" customHeight="1"/>
    <row r="113" ht="16.5" customHeight="1"/>
    <row r="114" ht="16.5" customHeight="1"/>
    <row r="115" ht="16.5" customHeight="1"/>
    <row r="116" ht="16.5" customHeight="1"/>
    <row r="117" ht="16.5" customHeight="1"/>
    <row r="118" ht="16.5" customHeight="1"/>
    <row r="119" ht="16.5" customHeight="1"/>
    <row r="120" ht="16.5" customHeight="1"/>
    <row r="121" ht="16.5" customHeight="1"/>
    <row r="122" ht="16.5" customHeight="1"/>
    <row r="123" ht="16.5" customHeight="1"/>
    <row r="124" ht="16.5" customHeight="1"/>
    <row r="125" ht="16.5" customHeight="1"/>
    <row r="126" ht="16.5" customHeight="1"/>
    <row r="127" ht="16.5" customHeight="1"/>
    <row r="128" ht="16.5" customHeight="1"/>
    <row r="129" ht="16.5" customHeight="1"/>
    <row r="130" ht="16.5" customHeight="1"/>
    <row r="131" ht="16.5" customHeight="1"/>
    <row r="132" ht="16.5" customHeight="1"/>
    <row r="133" ht="16.5" customHeight="1"/>
    <row r="134" ht="16.5" customHeight="1"/>
    <row r="135" ht="16.5" customHeight="1"/>
    <row r="136" ht="16.5" customHeight="1"/>
    <row r="137" ht="16.5" customHeight="1"/>
    <row r="138" ht="16.5" customHeight="1"/>
    <row r="139" ht="16.5" customHeight="1"/>
    <row r="140" ht="16.5" customHeight="1"/>
    <row r="141" ht="16.5" customHeight="1"/>
    <row r="142" ht="16.5" customHeight="1"/>
    <row r="143" ht="16.5" customHeight="1"/>
    <row r="144" ht="16.5" customHeight="1"/>
    <row r="145" ht="16.5" customHeight="1"/>
    <row r="146" ht="16.5" customHeight="1"/>
    <row r="147" ht="16.5" customHeight="1"/>
    <row r="148" ht="16.5" customHeight="1"/>
    <row r="149" ht="16.5" customHeight="1"/>
    <row r="150" ht="16.5" customHeight="1"/>
    <row r="151" ht="16.5" customHeight="1"/>
    <row r="152" ht="16.5" customHeight="1"/>
    <row r="153" ht="16.5" customHeight="1"/>
    <row r="154" ht="16.5" customHeight="1"/>
    <row r="155" ht="16.5" customHeight="1"/>
    <row r="156" ht="16.5" customHeight="1"/>
    <row r="157" ht="16.5" customHeight="1"/>
    <row r="158" ht="16.5" customHeight="1"/>
    <row r="159" ht="16.5" customHeight="1"/>
    <row r="160" ht="16.5" customHeight="1"/>
    <row r="161" ht="16.5" customHeight="1"/>
    <row r="162" ht="16.5" customHeight="1"/>
    <row r="163" ht="16.5" customHeight="1"/>
    <row r="164" ht="16.5" customHeight="1"/>
    <row r="165" ht="16.5" customHeight="1"/>
    <row r="166" ht="16.5" customHeight="1"/>
    <row r="167" ht="16.5" customHeight="1"/>
    <row r="168" ht="16.5" customHeight="1"/>
    <row r="169" ht="16.5" customHeight="1"/>
    <row r="170" ht="16.5" customHeight="1"/>
    <row r="171" ht="16.5" customHeight="1"/>
    <row r="172" ht="16.5" customHeight="1"/>
    <row r="173" ht="16.5" customHeight="1"/>
    <row r="174" ht="16.5" customHeight="1"/>
    <row r="175" ht="16.5" customHeight="1"/>
    <row r="176" ht="16.5" customHeight="1"/>
    <row r="177" ht="16.5" customHeight="1"/>
  </sheetData>
  <phoneticPr fontId="159"/>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FFFF00"/>
  </sheetPr>
  <dimension ref="A2:AF118"/>
  <sheetViews>
    <sheetView zoomScale="90" zoomScaleNormal="90" workbookViewId="0"/>
  </sheetViews>
  <sheetFormatPr baseColWidth="10" defaultColWidth="9.140625" defaultRowHeight="14.25" customHeight="1"/>
  <cols>
    <col min="1" max="1" width="3.7109375" style="1791" customWidth="1"/>
    <col min="2" max="2" width="13.42578125" style="1791" customWidth="1"/>
    <col min="3" max="3" width="11.140625" style="1791" customWidth="1"/>
    <col min="4" max="4" width="9.140625" style="1791"/>
    <col min="5" max="5" width="13.7109375" style="1791" customWidth="1"/>
    <col min="6" max="6" width="3.5703125" style="1791" customWidth="1"/>
    <col min="7" max="7" width="24.7109375" style="1791" customWidth="1"/>
    <col min="8" max="8" width="12.5703125" style="1791" customWidth="1"/>
    <col min="9" max="9" width="18.7109375" style="1791" customWidth="1"/>
    <col min="10" max="10" width="3.5703125" style="1791" customWidth="1"/>
    <col min="11" max="11" width="18.85546875" style="1791" customWidth="1"/>
    <col min="12" max="12" width="14" style="1791" customWidth="1"/>
    <col min="13" max="13" width="14.85546875" style="1791" customWidth="1"/>
    <col min="14" max="14" width="3.5703125" style="1791" customWidth="1"/>
    <col min="15" max="15" width="11.42578125" style="1791" customWidth="1"/>
    <col min="16" max="16" width="11.5703125" style="1791" bestFit="1" customWidth="1"/>
    <col min="17" max="18" width="9.140625" style="1791"/>
    <col min="19" max="19" width="10.7109375" style="1791" bestFit="1" customWidth="1"/>
    <col min="20" max="20" width="10.7109375" style="1930" bestFit="1" customWidth="1"/>
    <col min="21" max="21" width="3.85546875" style="1791" customWidth="1"/>
    <col min="22" max="22" width="25.140625" style="1791" customWidth="1"/>
    <col min="23" max="23" width="21.140625" style="1791" customWidth="1"/>
    <col min="24" max="24" width="11.28515625" style="1791" customWidth="1"/>
    <col min="25" max="25" width="12.140625" style="1791" customWidth="1"/>
    <col min="26" max="26" width="3.85546875" style="1791" customWidth="1"/>
    <col min="27" max="27" width="11.5703125" style="1791" bestFit="1" customWidth="1"/>
    <col min="28" max="28" width="13.140625" style="1791" bestFit="1" customWidth="1"/>
    <col min="29" max="29" width="13.7109375" style="1791" bestFit="1" customWidth="1"/>
    <col min="30" max="30" width="13.42578125" style="1791" bestFit="1" customWidth="1"/>
    <col min="31" max="31" width="14.7109375" style="1791" bestFit="1" customWidth="1"/>
    <col min="32" max="32" width="27.5703125" style="1791" customWidth="1"/>
    <col min="33" max="16384" width="9.140625" style="1791"/>
  </cols>
  <sheetData>
    <row r="2" spans="1:16" ht="18" customHeight="1">
      <c r="C2" s="1790"/>
      <c r="D2" s="1790"/>
      <c r="E2" s="1790"/>
    </row>
    <row r="3" spans="1:16" ht="15.75" customHeight="1">
      <c r="C3" s="1790"/>
      <c r="D3" s="1790"/>
      <c r="E3" s="1790"/>
      <c r="G3" s="1792"/>
    </row>
    <row r="4" spans="1:16" ht="21">
      <c r="C4" s="1790"/>
      <c r="D4" s="1790"/>
      <c r="E4" s="1790"/>
      <c r="G4" s="1792"/>
    </row>
    <row r="5" spans="1:16" ht="19.5" customHeight="1">
      <c r="A5" s="1945"/>
      <c r="B5" s="1946" t="s">
        <v>1882</v>
      </c>
      <c r="C5" s="1947"/>
      <c r="D5" s="1947"/>
      <c r="E5" s="1947"/>
      <c r="F5" s="1945"/>
      <c r="G5" s="1944"/>
      <c r="H5" s="1948" t="s">
        <v>1879</v>
      </c>
      <c r="P5" s="1935"/>
    </row>
    <row r="6" spans="1:16" ht="21">
      <c r="A6" s="1945"/>
      <c r="B6" s="1946" t="s">
        <v>1883</v>
      </c>
      <c r="C6" s="1947"/>
      <c r="D6" s="1947"/>
      <c r="E6" s="1947"/>
      <c r="F6" s="1945"/>
      <c r="G6" s="1944"/>
      <c r="H6" s="1948" t="s">
        <v>1880</v>
      </c>
      <c r="P6" s="1935"/>
    </row>
    <row r="7" spans="1:16" ht="21">
      <c r="A7" s="1945"/>
      <c r="B7" s="1946" t="s">
        <v>1878</v>
      </c>
      <c r="C7" s="1947"/>
      <c r="D7" s="1947"/>
      <c r="E7" s="1947"/>
      <c r="F7" s="1945"/>
      <c r="G7" s="1944"/>
      <c r="H7" s="1948" t="s">
        <v>1881</v>
      </c>
    </row>
    <row r="8" spans="1:16" ht="21">
      <c r="B8" s="1931" t="s">
        <v>1173</v>
      </c>
      <c r="C8" s="1790"/>
      <c r="D8" s="1790"/>
      <c r="E8" s="1790"/>
      <c r="G8" s="1792"/>
    </row>
    <row r="9" spans="1:16" ht="15.75" customHeight="1">
      <c r="C9" s="1790"/>
      <c r="D9" s="1790"/>
      <c r="E9" s="1790"/>
      <c r="G9" s="1792"/>
    </row>
    <row r="10" spans="1:16" ht="15.75" customHeight="1">
      <c r="C10" s="1790"/>
      <c r="D10" s="1790"/>
      <c r="E10" s="1790"/>
      <c r="L10" s="1932"/>
    </row>
    <row r="11" spans="1:16" ht="15.75" customHeight="1">
      <c r="C11" s="1790"/>
      <c r="D11" s="1790"/>
      <c r="E11" s="1790"/>
      <c r="G11" s="1792"/>
      <c r="L11" s="1932"/>
    </row>
    <row r="12" spans="1:16" ht="15.75" customHeight="1">
      <c r="B12" s="1933"/>
      <c r="C12" s="1790"/>
      <c r="D12" s="1790"/>
      <c r="E12" s="1790"/>
      <c r="G12" s="1792"/>
      <c r="L12" s="1934"/>
    </row>
    <row r="13" spans="1:16" ht="15.75" customHeight="1">
      <c r="B13" s="1933"/>
      <c r="C13" s="1790"/>
      <c r="D13" s="1790"/>
      <c r="E13" s="1790"/>
      <c r="G13" s="1792"/>
    </row>
    <row r="14" spans="1:16" ht="15.75" customHeight="1">
      <c r="B14" s="1933"/>
      <c r="C14" s="1790"/>
      <c r="D14" s="1790"/>
      <c r="E14" s="1790"/>
      <c r="G14" s="1792"/>
    </row>
    <row r="15" spans="1:16" ht="15.75" customHeight="1">
      <c r="B15" s="1933"/>
      <c r="C15" s="1790"/>
      <c r="D15" s="1790"/>
      <c r="E15" s="1790"/>
      <c r="G15" s="1792"/>
    </row>
    <row r="16" spans="1:16" ht="15.75" customHeight="1">
      <c r="B16" s="1933"/>
      <c r="C16" s="1790"/>
      <c r="D16" s="1790"/>
      <c r="E16" s="1790"/>
      <c r="G16" s="1792"/>
    </row>
    <row r="17" spans="2:32" ht="15.75" customHeight="1">
      <c r="B17" s="1933"/>
      <c r="C17" s="1790"/>
      <c r="D17" s="1790"/>
      <c r="E17" s="1790"/>
      <c r="G17" s="1792"/>
    </row>
    <row r="18" spans="2:32" ht="15.75" customHeight="1">
      <c r="B18" s="1933"/>
      <c r="C18" s="1790"/>
      <c r="D18" s="1790"/>
      <c r="E18" s="1790"/>
      <c r="G18" s="1792"/>
    </row>
    <row r="19" spans="2:32" ht="15.75" customHeight="1">
      <c r="B19" s="1933"/>
      <c r="C19" s="1790"/>
      <c r="D19" s="1790"/>
      <c r="E19" s="1790"/>
      <c r="G19" s="1792"/>
    </row>
    <row r="20" spans="2:32" ht="15.75" customHeight="1">
      <c r="B20" s="1933"/>
      <c r="C20" s="1790"/>
      <c r="D20" s="1790"/>
      <c r="E20" s="1790"/>
      <c r="G20" s="1792"/>
    </row>
    <row r="21" spans="2:32" ht="15.75" customHeight="1">
      <c r="B21" s="1935" t="s">
        <v>1182</v>
      </c>
      <c r="C21" s="1790"/>
      <c r="D21" s="1790"/>
      <c r="E21" s="1790"/>
      <c r="G21" s="1792"/>
    </row>
    <row r="22" spans="2:32" ht="12" customHeight="1">
      <c r="B22" s="1935" t="s">
        <v>1183</v>
      </c>
      <c r="C22" s="1790"/>
      <c r="D22" s="1790"/>
      <c r="E22" s="1790"/>
      <c r="G22" s="1792"/>
    </row>
    <row r="23" spans="2:32" ht="12" customHeight="1">
      <c r="B23" s="1935" t="s">
        <v>1175</v>
      </c>
      <c r="C23" s="1790"/>
      <c r="D23" s="1790"/>
      <c r="E23" s="1790"/>
      <c r="K23" s="1936" t="s">
        <v>1216</v>
      </c>
    </row>
    <row r="24" spans="2:32" ht="14.25" customHeight="1">
      <c r="B24" s="1933"/>
      <c r="AA24" s="1796"/>
      <c r="AB24" s="1796"/>
      <c r="AC24" s="1796"/>
      <c r="AD24" s="1796"/>
      <c r="AE24" s="1796"/>
      <c r="AF24" s="1796"/>
    </row>
    <row r="25" spans="2:32" ht="14.25" customHeight="1">
      <c r="B25" s="582" t="s">
        <v>1636</v>
      </c>
      <c r="C25" s="583"/>
      <c r="D25" s="583"/>
      <c r="E25" s="584"/>
      <c r="G25" s="585" t="s">
        <v>1227</v>
      </c>
      <c r="H25" s="583"/>
      <c r="I25" s="584"/>
      <c r="K25" s="586" t="s">
        <v>1116</v>
      </c>
      <c r="L25" s="583"/>
      <c r="M25" s="584"/>
      <c r="O25" s="586" t="s">
        <v>1192</v>
      </c>
      <c r="P25" s="583"/>
      <c r="Q25" s="583"/>
      <c r="R25" s="583"/>
      <c r="S25" s="583"/>
      <c r="T25" s="587"/>
      <c r="V25" s="582" t="s">
        <v>1195</v>
      </c>
      <c r="W25" s="655"/>
      <c r="X25" s="664" t="s">
        <v>1635</v>
      </c>
      <c r="Y25" s="664" t="s">
        <v>1193</v>
      </c>
      <c r="AA25" s="586" t="s">
        <v>1224</v>
      </c>
      <c r="AB25" s="583"/>
      <c r="AC25" s="583"/>
      <c r="AD25" s="583"/>
      <c r="AE25" s="583"/>
      <c r="AF25" s="584"/>
    </row>
    <row r="26" spans="2:32" ht="14.25" customHeight="1">
      <c r="B26" s="588"/>
      <c r="C26" s="589"/>
      <c r="D26" s="589"/>
      <c r="E26" s="590"/>
      <c r="G26" s="698" t="s">
        <v>1228</v>
      </c>
      <c r="H26" s="699"/>
      <c r="I26" s="700"/>
      <c r="K26" s="796"/>
      <c r="L26" s="589"/>
      <c r="M26" s="590"/>
      <c r="O26" s="796"/>
      <c r="P26" s="589"/>
      <c r="Q26" s="589"/>
      <c r="R26" s="589"/>
      <c r="S26" s="589"/>
      <c r="T26" s="592"/>
      <c r="V26" s="664" t="s">
        <v>1184</v>
      </c>
      <c r="W26" s="664" t="s">
        <v>1129</v>
      </c>
      <c r="X26" s="664" t="s">
        <v>1286</v>
      </c>
      <c r="Y26" s="584"/>
      <c r="AA26" s="796" t="s">
        <v>1225</v>
      </c>
      <c r="AB26" s="589"/>
      <c r="AC26" s="589"/>
      <c r="AD26" s="589"/>
      <c r="AE26" s="589"/>
      <c r="AF26" s="590"/>
    </row>
    <row r="27" spans="2:32" ht="14.25" customHeight="1">
      <c r="B27" s="796"/>
      <c r="C27" s="589"/>
      <c r="D27" s="589"/>
      <c r="E27" s="590"/>
      <c r="G27" s="675" t="s">
        <v>1219</v>
      </c>
      <c r="H27" s="589"/>
      <c r="I27" s="590"/>
      <c r="K27" s="591"/>
      <c r="L27" s="589"/>
      <c r="M27" s="590"/>
      <c r="O27" s="796"/>
      <c r="P27" s="589"/>
      <c r="Q27" s="589"/>
      <c r="R27" s="589"/>
      <c r="S27" s="589"/>
      <c r="T27" s="592"/>
      <c r="V27" s="659" t="s">
        <v>1133</v>
      </c>
      <c r="W27" s="660" t="s">
        <v>1132</v>
      </c>
      <c r="X27" s="660">
        <v>0.34100000000000003</v>
      </c>
      <c r="Y27" s="590"/>
      <c r="AA27" s="796"/>
      <c r="AB27" s="589"/>
      <c r="AC27" s="589"/>
      <c r="AD27" s="589"/>
      <c r="AE27" s="589"/>
      <c r="AF27" s="590"/>
    </row>
    <row r="28" spans="2:32" ht="14.25" customHeight="1">
      <c r="B28" s="796"/>
      <c r="C28" s="589"/>
      <c r="D28" s="589"/>
      <c r="E28" s="590"/>
      <c r="G28" s="796"/>
      <c r="H28" s="589"/>
      <c r="I28" s="829"/>
      <c r="K28" s="796"/>
      <c r="L28" s="589"/>
      <c r="M28" s="590"/>
      <c r="O28" s="796"/>
      <c r="P28" s="589"/>
      <c r="Q28" s="589"/>
      <c r="R28" s="724" t="s">
        <v>1876</v>
      </c>
      <c r="S28" s="589"/>
      <c r="T28" s="592"/>
      <c r="V28" s="659" t="s">
        <v>1134</v>
      </c>
      <c r="W28" s="660" t="s">
        <v>1132</v>
      </c>
      <c r="X28" s="660">
        <v>0.318</v>
      </c>
      <c r="Y28" s="590"/>
      <c r="AA28" s="796"/>
      <c r="AB28" s="589" t="s">
        <v>1174</v>
      </c>
      <c r="AC28" s="589"/>
      <c r="AD28" s="589"/>
      <c r="AE28" s="589"/>
      <c r="AF28" s="590"/>
    </row>
    <row r="29" spans="2:32" ht="14.25" customHeight="1">
      <c r="B29" s="594"/>
      <c r="C29" s="589"/>
      <c r="D29" s="589"/>
      <c r="E29" s="590"/>
      <c r="G29" s="593" t="s">
        <v>1950</v>
      </c>
      <c r="H29" s="589"/>
      <c r="I29" s="590"/>
      <c r="K29" s="2093" t="s">
        <v>1949</v>
      </c>
      <c r="L29" s="596"/>
      <c r="M29" s="590"/>
      <c r="O29" s="597" t="s">
        <v>1948</v>
      </c>
      <c r="P29" s="589"/>
      <c r="Q29" s="589"/>
      <c r="R29" s="589"/>
      <c r="S29" s="589"/>
      <c r="T29" s="590"/>
      <c r="V29" s="659" t="s">
        <v>1135</v>
      </c>
      <c r="W29" s="660" t="s">
        <v>1132</v>
      </c>
      <c r="X29" s="660">
        <v>0.39700000000000002</v>
      </c>
      <c r="Y29" s="590"/>
      <c r="AA29" s="598" t="s">
        <v>1285</v>
      </c>
      <c r="AB29" s="622"/>
      <c r="AC29" s="599" t="s">
        <v>1953</v>
      </c>
      <c r="AD29" s="589"/>
      <c r="AE29" s="589"/>
      <c r="AF29" s="590"/>
    </row>
    <row r="30" spans="2:32" ht="14.25" customHeight="1">
      <c r="B30" s="1568" t="s">
        <v>1117</v>
      </c>
      <c r="C30" s="589" t="s">
        <v>1118</v>
      </c>
      <c r="D30" s="589"/>
      <c r="E30" s="590"/>
      <c r="G30" s="1568" t="s">
        <v>1120</v>
      </c>
      <c r="H30" s="2428">
        <f>_xll.BView(G31,"updatetime")</f>
        <v>43389.586967592593</v>
      </c>
      <c r="I30" s="2429"/>
      <c r="K30" s="1942" t="s">
        <v>1119</v>
      </c>
      <c r="L30" s="1943">
        <v>42287</v>
      </c>
      <c r="M30" s="680"/>
      <c r="O30" s="1942" t="s">
        <v>1251</v>
      </c>
      <c r="P30" s="1024">
        <f>_xll.BView(O31,"updatetime")</f>
        <v>43389.586967592593</v>
      </c>
      <c r="Q30" s="1025"/>
      <c r="R30" s="1026"/>
      <c r="S30" s="589"/>
      <c r="T30" s="590"/>
      <c r="V30" s="659" t="s">
        <v>1136</v>
      </c>
      <c r="W30" s="660" t="s">
        <v>1132</v>
      </c>
      <c r="X30" s="660">
        <v>0.501</v>
      </c>
      <c r="Y30" s="590"/>
      <c r="AA30" s="600" t="s">
        <v>422</v>
      </c>
      <c r="AB30" s="601" t="s">
        <v>614</v>
      </c>
      <c r="AC30" s="602" t="s">
        <v>703</v>
      </c>
      <c r="AD30" s="602" t="s">
        <v>702</v>
      </c>
      <c r="AE30" s="601" t="s">
        <v>1121</v>
      </c>
      <c r="AF30" s="590"/>
    </row>
    <row r="31" spans="2:32" ht="14.25" customHeight="1">
      <c r="B31" s="796"/>
      <c r="C31" s="589" t="s">
        <v>1122</v>
      </c>
      <c r="D31" s="589"/>
      <c r="E31" s="590"/>
      <c r="G31" s="734" t="str">
        <f>_xll.BCurveStrip(G30)</f>
        <v>EUR.3M:BLOOMBERG DC 359428</v>
      </c>
      <c r="H31" s="589"/>
      <c r="I31" s="622"/>
      <c r="K31" s="1027" t="str">
        <f>_xll.BCurveStrip(K30,"CurveDate="&amp;L30)</f>
        <v>EUR.6M:BLOOMBERG DC 562208</v>
      </c>
      <c r="L31" s="589"/>
      <c r="M31" s="590"/>
      <c r="O31" s="1028" t="str">
        <f>_xll.BCurveStrip(O30)</f>
        <v>CHF.6M:BLOOMBERG DC 646601</v>
      </c>
      <c r="P31" s="589"/>
      <c r="Q31" s="589"/>
      <c r="R31" s="589"/>
      <c r="T31" s="590"/>
      <c r="V31" s="659" t="s">
        <v>1137</v>
      </c>
      <c r="W31" s="660" t="s">
        <v>1132</v>
      </c>
      <c r="X31" s="660">
        <v>0.68899999999999995</v>
      </c>
      <c r="Y31" s="722" t="s">
        <v>1223</v>
      </c>
      <c r="AA31" s="603" t="e">
        <f ca="1">_xll.BToday()</f>
        <v>#NAME?</v>
      </c>
      <c r="AB31" s="1023" t="s">
        <v>613</v>
      </c>
      <c r="AC31" s="1023">
        <v>1</v>
      </c>
      <c r="AD31" s="1023" t="s">
        <v>612</v>
      </c>
      <c r="AE31" s="604" t="e">
        <f ca="1">_xll.BADDPERIODS($AA$31,AB31,"numberofperiods="&amp;AC31,"per="&amp;AD31)</f>
        <v>#NAME?</v>
      </c>
      <c r="AF31" s="590"/>
    </row>
    <row r="32" spans="2:32" ht="14.25" customHeight="1">
      <c r="B32" s="595" t="s">
        <v>1180</v>
      </c>
      <c r="C32" s="589"/>
      <c r="D32" s="589"/>
      <c r="E32" s="590"/>
      <c r="G32" s="796"/>
      <c r="H32" s="1029" t="s">
        <v>1637</v>
      </c>
      <c r="I32" s="590"/>
      <c r="K32" s="796"/>
      <c r="L32" s="589"/>
      <c r="M32" s="590"/>
      <c r="O32" s="796"/>
      <c r="P32" s="589" t="s">
        <v>1123</v>
      </c>
      <c r="Q32" s="589"/>
      <c r="R32" s="589"/>
      <c r="S32" s="589"/>
      <c r="T32" s="590"/>
      <c r="V32" s="659" t="s">
        <v>1185</v>
      </c>
      <c r="W32" s="660" t="s">
        <v>1132</v>
      </c>
      <c r="X32" s="660">
        <v>0.79400000000000004</v>
      </c>
      <c r="Y32" s="722" t="s">
        <v>1263</v>
      </c>
      <c r="AA32" s="796"/>
      <c r="AB32" s="1023" t="s">
        <v>613</v>
      </c>
      <c r="AC32" s="1023">
        <v>1</v>
      </c>
      <c r="AD32" s="1023" t="s">
        <v>603</v>
      </c>
      <c r="AE32" s="604" t="e">
        <f ca="1">_xll.BADDPERIODS($AA$31,AB32,"numberofperiods="&amp;AC32,"per="&amp;AD32)</f>
        <v>#NAME?</v>
      </c>
      <c r="AF32" s="590"/>
    </row>
    <row r="33" spans="2:32" ht="14.25" customHeight="1">
      <c r="B33" s="595" t="s">
        <v>1124</v>
      </c>
      <c r="C33" s="589"/>
      <c r="D33" s="589"/>
      <c r="E33" s="590"/>
      <c r="G33" s="675" t="s">
        <v>1877</v>
      </c>
      <c r="H33" s="589"/>
      <c r="I33" s="590"/>
      <c r="K33" s="796"/>
      <c r="L33" s="589"/>
      <c r="M33" s="590"/>
      <c r="O33" s="598" t="s">
        <v>1181</v>
      </c>
      <c r="P33" s="589"/>
      <c r="Q33" s="589"/>
      <c r="R33" s="589"/>
      <c r="S33" s="589"/>
      <c r="T33" s="590"/>
      <c r="V33" s="659" t="s">
        <v>1186</v>
      </c>
      <c r="W33" s="660" t="s">
        <v>1132</v>
      </c>
      <c r="X33" s="660">
        <v>0.88600000000000001</v>
      </c>
      <c r="Y33" s="722" t="s">
        <v>1197</v>
      </c>
      <c r="AA33" s="796"/>
      <c r="AB33" s="1023" t="s">
        <v>613</v>
      </c>
      <c r="AC33" s="1023">
        <v>2</v>
      </c>
      <c r="AD33" s="1023" t="s">
        <v>603</v>
      </c>
      <c r="AE33" s="604" t="e">
        <f ca="1">_xll.BADDPERIODS($AA$31,AB33,"numberofperiods="&amp;AC33,"per="&amp;AD33)</f>
        <v>#NAME?</v>
      </c>
      <c r="AF33" s="590"/>
    </row>
    <row r="34" spans="2:32" ht="14.25" customHeight="1">
      <c r="B34" s="796"/>
      <c r="C34" s="589"/>
      <c r="D34" s="589"/>
      <c r="E34" s="605"/>
      <c r="F34" s="1801"/>
      <c r="G34" s="598" t="s">
        <v>1952</v>
      </c>
      <c r="H34" s="607"/>
      <c r="I34" s="658"/>
      <c r="J34" s="1939"/>
      <c r="K34" s="598" t="s">
        <v>1951</v>
      </c>
      <c r="L34" s="589"/>
      <c r="M34" s="590"/>
      <c r="O34" s="801" t="s">
        <v>494</v>
      </c>
      <c r="P34" s="654" t="s">
        <v>1125</v>
      </c>
      <c r="Q34" s="654" t="s">
        <v>1126</v>
      </c>
      <c r="R34" s="607" t="s">
        <v>1127</v>
      </c>
      <c r="S34" s="607" t="s">
        <v>1128</v>
      </c>
      <c r="T34" s="652" t="s">
        <v>1129</v>
      </c>
      <c r="V34" s="659" t="s">
        <v>1187</v>
      </c>
      <c r="W34" s="660" t="s">
        <v>1132</v>
      </c>
      <c r="X34" s="660">
        <v>0.97799999999999998</v>
      </c>
      <c r="Y34" s="722" t="s">
        <v>1196</v>
      </c>
      <c r="AA34" s="796"/>
      <c r="AB34" s="1023" t="s">
        <v>613</v>
      </c>
      <c r="AC34" s="1023">
        <v>3</v>
      </c>
      <c r="AD34" s="1023" t="s">
        <v>603</v>
      </c>
      <c r="AE34" s="604" t="e">
        <f ca="1">_xll.BADDPERIODS($AA$31,AB34,"numberofperiods="&amp;AC34,"per="&amp;AD34)</f>
        <v>#NAME?</v>
      </c>
      <c r="AF34" s="590"/>
    </row>
    <row r="35" spans="2:32" ht="14.25" customHeight="1">
      <c r="B35" s="1872" t="str">
        <f>_xll.BCurve(B30,"CurveDate=Today","cols=4;rows=31")</f>
        <v>Term</v>
      </c>
      <c r="C35" s="2098" t="s">
        <v>1129</v>
      </c>
      <c r="D35" s="607" t="s">
        <v>1130</v>
      </c>
      <c r="E35" s="608" t="s">
        <v>1131</v>
      </c>
      <c r="F35" s="1802"/>
      <c r="G35" s="796"/>
      <c r="H35" s="607"/>
      <c r="I35" s="608"/>
      <c r="J35" s="1939"/>
      <c r="K35" s="801"/>
      <c r="L35" s="607" t="s">
        <v>1130</v>
      </c>
      <c r="M35" s="590"/>
      <c r="O35" s="727">
        <f>_xll.BView(O31,O34:T34,"cols=6;rows=22")</f>
        <v>43573</v>
      </c>
      <c r="P35" s="2105">
        <v>-0.66439999999999999</v>
      </c>
      <c r="Q35" s="2105">
        <v>-0.66439999999999999</v>
      </c>
      <c r="R35" s="2106">
        <v>-0.66439999999999999</v>
      </c>
      <c r="S35" s="2106">
        <v>1.0033700000000001</v>
      </c>
      <c r="T35" s="2107" t="s">
        <v>1132</v>
      </c>
      <c r="U35" s="1796"/>
      <c r="V35" s="659" t="s">
        <v>1188</v>
      </c>
      <c r="W35" s="660" t="s">
        <v>1189</v>
      </c>
      <c r="X35" s="660">
        <v>0.93600000000000005</v>
      </c>
      <c r="Y35" s="722" t="s">
        <v>1264</v>
      </c>
      <c r="Z35" s="1796"/>
      <c r="AA35" s="796"/>
      <c r="AB35" s="1023" t="s">
        <v>613</v>
      </c>
      <c r="AC35" s="1023">
        <v>1</v>
      </c>
      <c r="AD35" s="1023" t="s">
        <v>609</v>
      </c>
      <c r="AE35" s="604" t="e">
        <f ca="1">_xll.BADDPERIODS($AA$31,AB35,"numberofperiods="&amp;AC35,"per="&amp;AD35)</f>
        <v>#NAME?</v>
      </c>
      <c r="AF35" s="590"/>
    </row>
    <row r="36" spans="2:32" ht="14.25" customHeight="1">
      <c r="B36" s="801" t="s">
        <v>1137</v>
      </c>
      <c r="C36" s="2099" t="s">
        <v>1132</v>
      </c>
      <c r="D36" s="626">
        <v>-0.318</v>
      </c>
      <c r="E36" s="608">
        <v>-0.318</v>
      </c>
      <c r="F36" s="1802"/>
      <c r="G36" s="727">
        <f>_xll.BView(G31,"maturity,par.bid,zc.bid","cols=3;rows=30")</f>
        <v>43483</v>
      </c>
      <c r="H36" s="626">
        <v>-0.318</v>
      </c>
      <c r="I36" s="608">
        <v>-0.318</v>
      </c>
      <c r="J36" s="2094"/>
      <c r="K36" s="727">
        <f>_xll.BView(K31,"maturity,zc."&amp;L35,"cols=2;rows=32")</f>
        <v>42473</v>
      </c>
      <c r="L36" s="626">
        <v>2.8000000000000001E-2</v>
      </c>
      <c r="M36" s="658"/>
      <c r="O36" s="837">
        <v>43605</v>
      </c>
      <c r="P36" s="2105">
        <v>-0.66</v>
      </c>
      <c r="Q36" s="2105">
        <v>-0.67881999999999998</v>
      </c>
      <c r="R36" s="2106">
        <v>-0.66657999999999995</v>
      </c>
      <c r="S36" s="2106">
        <v>1.003978</v>
      </c>
      <c r="T36" s="2107" t="s">
        <v>2044</v>
      </c>
      <c r="U36" s="1940" t="s">
        <v>526</v>
      </c>
      <c r="V36" s="659" t="s">
        <v>1190</v>
      </c>
      <c r="W36" s="660" t="s">
        <v>1189</v>
      </c>
      <c r="X36" s="660">
        <v>0.92200000000000004</v>
      </c>
      <c r="Y36" s="722" t="s">
        <v>1265</v>
      </c>
      <c r="Z36" s="1940"/>
      <c r="AA36" s="796"/>
      <c r="AB36" s="1023" t="s">
        <v>613</v>
      </c>
      <c r="AC36" s="1023">
        <v>3</v>
      </c>
      <c r="AD36" s="1023" t="s">
        <v>609</v>
      </c>
      <c r="AE36" s="604" t="e">
        <f ca="1">_xll.BADDPERIODS($AA$31,AB36,"numberofperiods="&amp;AC36,"per="&amp;AD36)</f>
        <v>#NAME?</v>
      </c>
      <c r="AF36" s="590"/>
    </row>
    <row r="37" spans="2:32" ht="14.25" customHeight="1">
      <c r="B37" s="801" t="s">
        <v>1773</v>
      </c>
      <c r="C37" s="2099" t="s">
        <v>1274</v>
      </c>
      <c r="D37" s="626">
        <v>-0.31508000000000003</v>
      </c>
      <c r="E37" s="608">
        <v>-0.31508000000000003</v>
      </c>
      <c r="F37" s="1802"/>
      <c r="G37" s="837">
        <v>43516</v>
      </c>
      <c r="H37" s="626">
        <v>-0.32895999999999997</v>
      </c>
      <c r="I37" s="608">
        <v>-0.32324999999999998</v>
      </c>
      <c r="J37" s="2094"/>
      <c r="K37" s="837">
        <v>42503</v>
      </c>
      <c r="L37" s="626">
        <v>3.4020000000000002E-2</v>
      </c>
      <c r="M37" s="658"/>
      <c r="O37" s="837">
        <v>43634</v>
      </c>
      <c r="P37" s="2105">
        <v>-0.66</v>
      </c>
      <c r="Q37" s="2105">
        <v>-0.68162999999999996</v>
      </c>
      <c r="R37" s="2106">
        <v>-0.66846000000000005</v>
      </c>
      <c r="S37" s="2106">
        <v>1.0045329999999999</v>
      </c>
      <c r="T37" s="2107" t="s">
        <v>2044</v>
      </c>
      <c r="U37" s="1940" t="s">
        <v>526</v>
      </c>
      <c r="V37" s="659" t="s">
        <v>1191</v>
      </c>
      <c r="W37" s="660" t="s">
        <v>1189</v>
      </c>
      <c r="X37" s="660">
        <v>1.016</v>
      </c>
      <c r="Y37" s="722" t="s">
        <v>1266</v>
      </c>
      <c r="Z37" s="1940"/>
      <c r="AA37" s="796"/>
      <c r="AB37" s="1023" t="s">
        <v>613</v>
      </c>
      <c r="AC37" s="1023">
        <v>6</v>
      </c>
      <c r="AD37" s="1023" t="s">
        <v>609</v>
      </c>
      <c r="AE37" s="604" t="e">
        <f ca="1">_xll.BADDPERIODS($AA$31,AB37,"numberofperiods="&amp;AC37,"per="&amp;AD37)</f>
        <v>#NAME?</v>
      </c>
      <c r="AF37" s="590"/>
    </row>
    <row r="38" spans="2:32" ht="14.25" customHeight="1">
      <c r="B38" s="801" t="s">
        <v>1275</v>
      </c>
      <c r="C38" s="2099" t="s">
        <v>1274</v>
      </c>
      <c r="D38" s="626">
        <v>-0.31015999999999999</v>
      </c>
      <c r="E38" s="608">
        <v>-0.31015999999999999</v>
      </c>
      <c r="F38" s="1802"/>
      <c r="G38" s="837">
        <v>43544</v>
      </c>
      <c r="H38" s="626">
        <v>-0.32053999999999999</v>
      </c>
      <c r="I38" s="608">
        <v>-0.31502999999999998</v>
      </c>
      <c r="J38" s="2094"/>
      <c r="K38" s="837">
        <v>42534</v>
      </c>
      <c r="L38" s="626">
        <v>3.0609999999999998E-2</v>
      </c>
      <c r="M38" s="658"/>
      <c r="O38" s="837">
        <v>43664</v>
      </c>
      <c r="P38" s="2105">
        <v>-0.66559999999999997</v>
      </c>
      <c r="Q38" s="2105">
        <v>-0.68945999999999996</v>
      </c>
      <c r="R38" s="2106">
        <v>-0.63048999999999999</v>
      </c>
      <c r="S38" s="2106">
        <v>1.004804</v>
      </c>
      <c r="T38" s="2107" t="s">
        <v>2044</v>
      </c>
      <c r="U38" s="1940" t="s">
        <v>526</v>
      </c>
      <c r="V38" s="659" t="s">
        <v>1139</v>
      </c>
      <c r="W38" s="660" t="s">
        <v>1138</v>
      </c>
      <c r="X38" s="660">
        <v>1.069</v>
      </c>
      <c r="Y38" s="722" t="s">
        <v>1267</v>
      </c>
      <c r="Z38" s="1940"/>
      <c r="AA38" s="796"/>
      <c r="AB38" s="1023" t="s">
        <v>613</v>
      </c>
      <c r="AC38" s="1023">
        <v>1</v>
      </c>
      <c r="AD38" s="1023" t="s">
        <v>610</v>
      </c>
      <c r="AE38" s="604" t="e">
        <f ca="1">_xll.BADDPERIODS($AA$31,AB38,"numberofperiods="&amp;AC38,"per="&amp;AD38)</f>
        <v>#NAME?</v>
      </c>
      <c r="AF38" s="590"/>
    </row>
    <row r="39" spans="2:32" ht="14.25" customHeight="1">
      <c r="B39" s="801" t="s">
        <v>1276</v>
      </c>
      <c r="C39" s="2099" t="s">
        <v>1274</v>
      </c>
      <c r="D39" s="626">
        <v>-0.30026999999999998</v>
      </c>
      <c r="E39" s="608">
        <v>-0.30026999999999998</v>
      </c>
      <c r="F39" s="1802"/>
      <c r="G39" s="837">
        <v>43572</v>
      </c>
      <c r="H39" s="626">
        <v>-0.30925999999999998</v>
      </c>
      <c r="I39" s="608">
        <v>-0.31217</v>
      </c>
      <c r="J39" s="2094"/>
      <c r="K39" s="837">
        <v>42564</v>
      </c>
      <c r="L39" s="626">
        <v>2.8639999999999999E-2</v>
      </c>
      <c r="M39" s="658"/>
      <c r="O39" s="837">
        <v>43696</v>
      </c>
      <c r="P39" s="2105">
        <v>-0.64</v>
      </c>
      <c r="Q39" s="2105">
        <v>-0.66834000000000005</v>
      </c>
      <c r="R39" s="2106">
        <v>-0.65891</v>
      </c>
      <c r="S39" s="2106">
        <v>1.005614</v>
      </c>
      <c r="T39" s="2107" t="s">
        <v>2044</v>
      </c>
      <c r="U39" s="1940" t="s">
        <v>526</v>
      </c>
      <c r="V39" s="659" t="s">
        <v>1140</v>
      </c>
      <c r="W39" s="660" t="s">
        <v>1138</v>
      </c>
      <c r="X39" s="660">
        <v>1.196</v>
      </c>
      <c r="Y39" s="722"/>
      <c r="Z39" s="1940"/>
      <c r="AA39" s="796"/>
      <c r="AB39" s="1023" t="s">
        <v>613</v>
      </c>
      <c r="AC39" s="1023">
        <v>2</v>
      </c>
      <c r="AD39" s="1023" t="s">
        <v>610</v>
      </c>
      <c r="AE39" s="604" t="e">
        <f ca="1">_xll.BADDPERIODS($AA$31,AB39,"numberofperiods="&amp;AC39,"per="&amp;AD39)</f>
        <v>#NAME?</v>
      </c>
      <c r="AF39" s="590"/>
    </row>
    <row r="40" spans="2:32" ht="14.25" customHeight="1">
      <c r="B40" s="801" t="s">
        <v>1277</v>
      </c>
      <c r="C40" s="2099" t="s">
        <v>1274</v>
      </c>
      <c r="D40" s="626">
        <v>-0.2954</v>
      </c>
      <c r="E40" s="608">
        <v>-0.2954</v>
      </c>
      <c r="F40" s="1802"/>
      <c r="G40" s="837">
        <v>43600</v>
      </c>
      <c r="H40" s="626">
        <v>-0.31435999999999997</v>
      </c>
      <c r="I40" s="608">
        <v>-0.31025999999999998</v>
      </c>
      <c r="J40" s="2094"/>
      <c r="K40" s="837">
        <v>42597</v>
      </c>
      <c r="L40" s="626">
        <v>2.7779999999999999E-2</v>
      </c>
      <c r="M40" s="658"/>
      <c r="O40" s="837">
        <v>43726</v>
      </c>
      <c r="P40" s="2105">
        <v>-0.63</v>
      </c>
      <c r="Q40" s="2105">
        <v>-0.65591999999999995</v>
      </c>
      <c r="R40" s="2106">
        <v>-0.65329000000000004</v>
      </c>
      <c r="S40" s="2106">
        <v>1.006116</v>
      </c>
      <c r="T40" s="2107" t="s">
        <v>2044</v>
      </c>
      <c r="U40" s="1940" t="s">
        <v>526</v>
      </c>
      <c r="V40" s="659" t="s">
        <v>1141</v>
      </c>
      <c r="W40" s="660" t="s">
        <v>1138</v>
      </c>
      <c r="X40" s="660">
        <v>1.3480000000000001</v>
      </c>
      <c r="Y40" s="723"/>
      <c r="Z40" s="1940"/>
      <c r="AA40" s="796"/>
      <c r="AB40" s="1023" t="s">
        <v>613</v>
      </c>
      <c r="AC40" s="1023">
        <v>3</v>
      </c>
      <c r="AD40" s="1023" t="s">
        <v>610</v>
      </c>
      <c r="AE40" s="604" t="e">
        <f ca="1">_xll.BADDPERIODS($AA$31,AB40,"numberofperiods="&amp;AC40,"per="&amp;AD40)</f>
        <v>#NAME?</v>
      </c>
      <c r="AF40" s="590"/>
    </row>
    <row r="41" spans="2:32" ht="14.25" customHeight="1">
      <c r="B41" s="801" t="s">
        <v>1278</v>
      </c>
      <c r="C41" s="2099" t="s">
        <v>1274</v>
      </c>
      <c r="D41" s="626">
        <v>-0.29055999999999998</v>
      </c>
      <c r="E41" s="608">
        <v>-0.29055999999999998</v>
      </c>
      <c r="F41" s="1802"/>
      <c r="G41" s="837">
        <v>43635</v>
      </c>
      <c r="H41" s="626">
        <v>-0.30925999999999998</v>
      </c>
      <c r="I41" s="608">
        <v>-0.30828</v>
      </c>
      <c r="J41" s="2094"/>
      <c r="K41" s="837">
        <v>42626</v>
      </c>
      <c r="L41" s="626">
        <v>2.7E-2</v>
      </c>
      <c r="M41" s="658"/>
      <c r="O41" s="837">
        <v>43756</v>
      </c>
      <c r="P41" s="2105">
        <v>-0.62829999999999997</v>
      </c>
      <c r="Q41" s="2105">
        <v>-0.64503999999999995</v>
      </c>
      <c r="R41" s="2106">
        <v>-0.64524000000000004</v>
      </c>
      <c r="S41" s="2106">
        <v>1.0065850000000001</v>
      </c>
      <c r="T41" s="2107" t="s">
        <v>2044</v>
      </c>
      <c r="U41" s="1940" t="s">
        <v>526</v>
      </c>
      <c r="V41" s="659" t="s">
        <v>1142</v>
      </c>
      <c r="W41" s="660" t="s">
        <v>1138</v>
      </c>
      <c r="X41" s="660">
        <v>1.504</v>
      </c>
      <c r="Y41" s="723"/>
      <c r="Z41" s="1940"/>
      <c r="AA41" s="796"/>
      <c r="AB41" s="1023" t="s">
        <v>613</v>
      </c>
      <c r="AC41" s="1023">
        <v>4</v>
      </c>
      <c r="AD41" s="1023" t="s">
        <v>610</v>
      </c>
      <c r="AE41" s="604" t="e">
        <f ca="1">_xll.BADDPERIODS($AA$31,AB41,"numberofperiods="&amp;AC41,"per="&amp;AD41)</f>
        <v>#NAME?</v>
      </c>
      <c r="AF41" s="590"/>
    </row>
    <row r="42" spans="2:32" ht="14.25" customHeight="1">
      <c r="B42" s="801" t="s">
        <v>1288</v>
      </c>
      <c r="C42" s="2099" t="s">
        <v>1274</v>
      </c>
      <c r="D42" s="626">
        <v>-0.28072000000000003</v>
      </c>
      <c r="E42" s="608">
        <v>-0.28072000000000003</v>
      </c>
      <c r="F42" s="1802"/>
      <c r="G42" s="837">
        <v>43663</v>
      </c>
      <c r="H42" s="626">
        <v>-0.29952000000000001</v>
      </c>
      <c r="I42" s="608">
        <v>-0.30259000000000003</v>
      </c>
      <c r="J42" s="2094"/>
      <c r="K42" s="837">
        <v>42656</v>
      </c>
      <c r="L42" s="626">
        <v>1.8499999999999999E-2</v>
      </c>
      <c r="M42" s="658"/>
      <c r="O42" s="837">
        <v>43850</v>
      </c>
      <c r="P42" s="2105">
        <v>-0.5675</v>
      </c>
      <c r="Q42" s="2105">
        <v>-0.63695999999999997</v>
      </c>
      <c r="R42" s="2106">
        <v>-0.60387000000000002</v>
      </c>
      <c r="S42" s="2106">
        <v>1.0077590000000001</v>
      </c>
      <c r="T42" s="2107" t="s">
        <v>2044</v>
      </c>
      <c r="U42" s="1940" t="s">
        <v>526</v>
      </c>
      <c r="V42" s="659" t="s">
        <v>1143</v>
      </c>
      <c r="W42" s="660" t="s">
        <v>1138</v>
      </c>
      <c r="X42" s="660">
        <v>1.6435</v>
      </c>
      <c r="Y42" s="661"/>
      <c r="Z42" s="1940"/>
      <c r="AA42" s="796"/>
      <c r="AB42" s="1023" t="s">
        <v>613</v>
      </c>
      <c r="AC42" s="1023">
        <v>5</v>
      </c>
      <c r="AD42" s="1023" t="s">
        <v>610</v>
      </c>
      <c r="AE42" s="604" t="e">
        <f ca="1">_xll.BADDPERIODS($AA$31,AB42,"numberofperiods="&amp;AC42,"per="&amp;AD42)</f>
        <v>#NAME?</v>
      </c>
      <c r="AF42" s="590"/>
    </row>
    <row r="43" spans="2:32" ht="14.25" customHeight="1">
      <c r="B43" s="801" t="s">
        <v>1279</v>
      </c>
      <c r="C43" s="2099" t="s">
        <v>1274</v>
      </c>
      <c r="D43" s="626">
        <v>-0.26612000000000002</v>
      </c>
      <c r="E43" s="608">
        <v>-0.26612000000000002</v>
      </c>
      <c r="F43" s="1802"/>
      <c r="G43" s="837">
        <v>43726</v>
      </c>
      <c r="H43" s="626">
        <v>-0.2974</v>
      </c>
      <c r="I43" s="608">
        <v>-0.29844999999999999</v>
      </c>
      <c r="J43" s="2094"/>
      <c r="K43" s="837">
        <v>42688</v>
      </c>
      <c r="L43" s="626">
        <v>1.9599999999999999E-2</v>
      </c>
      <c r="M43" s="658"/>
      <c r="O43" s="837">
        <v>44123</v>
      </c>
      <c r="P43" s="2105">
        <v>-0.49919999999999998</v>
      </c>
      <c r="Q43" s="2105">
        <v>-0.49814000000000003</v>
      </c>
      <c r="R43" s="2106">
        <v>-0.49974000000000002</v>
      </c>
      <c r="S43" s="2106">
        <v>1.010084</v>
      </c>
      <c r="T43" s="2107" t="s">
        <v>1138</v>
      </c>
      <c r="U43" s="1940" t="s">
        <v>526</v>
      </c>
      <c r="V43" s="659" t="s">
        <v>1144</v>
      </c>
      <c r="W43" s="660" t="s">
        <v>1138</v>
      </c>
      <c r="X43" s="660">
        <v>1.7649999999999999</v>
      </c>
      <c r="Y43" s="661"/>
      <c r="Z43" s="1940"/>
      <c r="AA43" s="796"/>
      <c r="AB43" s="1023" t="s">
        <v>613</v>
      </c>
      <c r="AC43" s="1023">
        <v>6</v>
      </c>
      <c r="AD43" s="1023" t="s">
        <v>610</v>
      </c>
      <c r="AE43" s="604" t="e">
        <f ca="1">_xll.BADDPERIODS($AA$31,AB43,"numberofperiods="&amp;AC43,"per="&amp;AD43)</f>
        <v>#NAME?</v>
      </c>
      <c r="AF43" s="590"/>
    </row>
    <row r="44" spans="2:32" ht="14.25" customHeight="1">
      <c r="B44" s="801" t="s">
        <v>1280</v>
      </c>
      <c r="C44" s="2099" t="s">
        <v>1274</v>
      </c>
      <c r="D44" s="626">
        <v>-0.19685</v>
      </c>
      <c r="E44" s="608">
        <v>-0.19685</v>
      </c>
      <c r="F44" s="1802"/>
      <c r="G44" s="837">
        <v>43817</v>
      </c>
      <c r="H44" s="626">
        <v>-0.27592</v>
      </c>
      <c r="I44" s="608">
        <v>-0.27711999999999998</v>
      </c>
      <c r="J44" s="2094"/>
      <c r="K44" s="837">
        <v>42717</v>
      </c>
      <c r="L44" s="626">
        <v>2.0490000000000001E-2</v>
      </c>
      <c r="M44" s="658"/>
      <c r="O44" s="837">
        <v>44487</v>
      </c>
      <c r="P44" s="2105">
        <v>-0.35249999999999998</v>
      </c>
      <c r="Q44" s="2105">
        <v>-0.35249999999999998</v>
      </c>
      <c r="R44" s="2106">
        <v>-0.35355999999999999</v>
      </c>
      <c r="S44" s="2106">
        <v>1.0106820000000001</v>
      </c>
      <c r="T44" s="2107" t="s">
        <v>1138</v>
      </c>
      <c r="U44" s="1940" t="s">
        <v>526</v>
      </c>
      <c r="V44" s="659" t="s">
        <v>1145</v>
      </c>
      <c r="W44" s="660" t="s">
        <v>1138</v>
      </c>
      <c r="X44" s="660">
        <v>1.87</v>
      </c>
      <c r="Y44" s="661"/>
      <c r="Z44" s="1940"/>
      <c r="AA44" s="796"/>
      <c r="AB44" s="1023" t="s">
        <v>613</v>
      </c>
      <c r="AC44" s="1023">
        <v>7</v>
      </c>
      <c r="AD44" s="1023" t="s">
        <v>610</v>
      </c>
      <c r="AE44" s="604" t="e">
        <f ca="1">_xll.BADDPERIODS($AA$31,AB44,"numberofperiods="&amp;AC44,"per="&amp;AD44)</f>
        <v>#NAME?</v>
      </c>
      <c r="AF44" s="590"/>
    </row>
    <row r="45" spans="2:32" ht="14.25" customHeight="1">
      <c r="B45" s="801" t="s">
        <v>1281</v>
      </c>
      <c r="C45" s="2099" t="s">
        <v>1274</v>
      </c>
      <c r="D45" s="626">
        <v>-0.10274999999999999</v>
      </c>
      <c r="E45" s="608">
        <v>-0.10274999999999999</v>
      </c>
      <c r="F45" s="1802"/>
      <c r="G45" s="837">
        <v>43908</v>
      </c>
      <c r="H45" s="626">
        <v>-0.24542</v>
      </c>
      <c r="I45" s="608">
        <v>-0.24657000000000001</v>
      </c>
      <c r="J45" s="2094"/>
      <c r="K45" s="837">
        <v>42748</v>
      </c>
      <c r="L45" s="626">
        <v>2.196E-2</v>
      </c>
      <c r="M45" s="658"/>
      <c r="O45" s="837">
        <v>44852</v>
      </c>
      <c r="P45" s="2105">
        <v>-0.16059999999999999</v>
      </c>
      <c r="Q45" s="2105">
        <v>-0.16059999999999999</v>
      </c>
      <c r="R45" s="2106">
        <v>-0.16202</v>
      </c>
      <c r="S45" s="2106">
        <v>1.006507</v>
      </c>
      <c r="T45" s="2107" t="s">
        <v>1138</v>
      </c>
      <c r="U45" s="1940" t="s">
        <v>526</v>
      </c>
      <c r="V45" s="659" t="s">
        <v>1146</v>
      </c>
      <c r="W45" s="660" t="s">
        <v>1138</v>
      </c>
      <c r="X45" s="660">
        <v>1.958</v>
      </c>
      <c r="Y45" s="661"/>
      <c r="Z45" s="1940"/>
      <c r="AA45" s="796"/>
      <c r="AB45" s="1023" t="s">
        <v>613</v>
      </c>
      <c r="AC45" s="1023">
        <v>8</v>
      </c>
      <c r="AD45" s="1023" t="s">
        <v>610</v>
      </c>
      <c r="AE45" s="604" t="e">
        <f ca="1">_xll.BADDPERIODS($AA$31,AB45,"numberofperiods="&amp;AC45,"per="&amp;AD45)</f>
        <v>#NAME?</v>
      </c>
      <c r="AF45" s="590"/>
    </row>
    <row r="46" spans="2:32" ht="14.25" customHeight="1">
      <c r="B46" s="801" t="s">
        <v>1282</v>
      </c>
      <c r="C46" s="2099" t="s">
        <v>1274</v>
      </c>
      <c r="D46" s="626">
        <v>-8.8100000000000001E-3</v>
      </c>
      <c r="E46" s="608">
        <v>-8.8100000000000001E-3</v>
      </c>
      <c r="F46" s="1802"/>
      <c r="G46" s="837">
        <v>43999</v>
      </c>
      <c r="H46" s="626">
        <v>-0.21004999999999999</v>
      </c>
      <c r="I46" s="608">
        <v>-0.21131</v>
      </c>
      <c r="J46" s="2094"/>
      <c r="K46" s="837">
        <v>42779</v>
      </c>
      <c r="L46" s="626">
        <v>2.3769999999999999E-2</v>
      </c>
      <c r="M46" s="658"/>
      <c r="O46" s="837">
        <v>45217</v>
      </c>
      <c r="P46" s="2105">
        <v>-3.2500000000000001E-2</v>
      </c>
      <c r="Q46" s="2105">
        <v>-3.2500000000000001E-2</v>
      </c>
      <c r="R46" s="2106">
        <v>-3.3570000000000003E-2</v>
      </c>
      <c r="S46" s="2106">
        <v>1.0016799999999999</v>
      </c>
      <c r="T46" s="2107" t="s">
        <v>1138</v>
      </c>
      <c r="U46" s="1940" t="s">
        <v>526</v>
      </c>
      <c r="V46" s="659" t="s">
        <v>1149</v>
      </c>
      <c r="W46" s="660" t="s">
        <v>1138</v>
      </c>
      <c r="X46" s="660">
        <v>2.262</v>
      </c>
      <c r="Y46" s="661"/>
      <c r="Z46" s="1940"/>
      <c r="AA46" s="796"/>
      <c r="AB46" s="1023" t="s">
        <v>613</v>
      </c>
      <c r="AC46" s="1023">
        <v>9</v>
      </c>
      <c r="AD46" s="1023" t="s">
        <v>610</v>
      </c>
      <c r="AE46" s="604" t="e">
        <f ca="1">_xll.BADDPERIODS($AA$31,AB46,"numberofperiods="&amp;AC46,"per="&amp;AD46)</f>
        <v>#NAME?</v>
      </c>
      <c r="AF46" s="590"/>
    </row>
    <row r="47" spans="2:32" ht="14.25" customHeight="1">
      <c r="B47" s="801" t="s">
        <v>1283</v>
      </c>
      <c r="C47" s="2099" t="s">
        <v>1274</v>
      </c>
      <c r="D47" s="626">
        <v>8.4970000000000004E-2</v>
      </c>
      <c r="E47" s="608">
        <v>8.4970000000000004E-2</v>
      </c>
      <c r="F47" s="1802"/>
      <c r="G47" s="837">
        <v>44090</v>
      </c>
      <c r="H47" s="626">
        <v>-0.17158000000000001</v>
      </c>
      <c r="I47" s="608">
        <v>-0.17277999999999999</v>
      </c>
      <c r="J47" s="2095"/>
      <c r="K47" s="837">
        <v>42807</v>
      </c>
      <c r="L47" s="626">
        <v>2.5250000000000002E-2</v>
      </c>
      <c r="M47" s="658"/>
      <c r="O47" s="837">
        <v>45583</v>
      </c>
      <c r="P47" s="2105">
        <v>0.1075</v>
      </c>
      <c r="Q47" s="2105">
        <v>0.1075</v>
      </c>
      <c r="R47" s="2106">
        <v>0.10727</v>
      </c>
      <c r="S47" s="2106">
        <v>0.99358800000000003</v>
      </c>
      <c r="T47" s="2107" t="s">
        <v>1138</v>
      </c>
      <c r="U47" s="1940" t="s">
        <v>526</v>
      </c>
      <c r="V47" s="659" t="s">
        <v>1150</v>
      </c>
      <c r="W47" s="660" t="s">
        <v>1138</v>
      </c>
      <c r="X47" s="660">
        <v>2.3029999999999999</v>
      </c>
      <c r="Y47" s="661"/>
      <c r="Z47" s="1940"/>
      <c r="AA47" s="796"/>
      <c r="AB47" s="1023" t="s">
        <v>613</v>
      </c>
      <c r="AC47" s="1023">
        <v>10</v>
      </c>
      <c r="AD47" s="1023" t="s">
        <v>610</v>
      </c>
      <c r="AE47" s="604" t="e">
        <f ca="1">_xll.BADDPERIODS($AA$31,AB47,"numberofperiods="&amp;AC47,"per="&amp;AD47)</f>
        <v>#NAME?</v>
      </c>
      <c r="AF47" s="590"/>
    </row>
    <row r="48" spans="2:32" ht="14.25" customHeight="1">
      <c r="B48" s="801" t="s">
        <v>1284</v>
      </c>
      <c r="C48" s="2099" t="s">
        <v>1274</v>
      </c>
      <c r="D48" s="626">
        <v>0.18360000000000001</v>
      </c>
      <c r="E48" s="608">
        <v>0.18360000000000001</v>
      </c>
      <c r="F48" s="1802"/>
      <c r="G48" s="837">
        <v>44181</v>
      </c>
      <c r="H48" s="626">
        <v>-0.13067999999999999</v>
      </c>
      <c r="I48" s="608">
        <v>-0.13136999999999999</v>
      </c>
      <c r="J48" s="2094"/>
      <c r="K48" s="837">
        <v>42838</v>
      </c>
      <c r="L48" s="626">
        <v>2.7279999999999999E-2</v>
      </c>
      <c r="M48" s="658"/>
      <c r="O48" s="837">
        <v>45950</v>
      </c>
      <c r="P48" s="2105">
        <v>0.2601</v>
      </c>
      <c r="Q48" s="2105">
        <v>0.26040000000000002</v>
      </c>
      <c r="R48" s="2106">
        <v>0.26143</v>
      </c>
      <c r="S48" s="2106">
        <v>0.98187500000000005</v>
      </c>
      <c r="T48" s="2107" t="s">
        <v>1138</v>
      </c>
      <c r="U48" s="1940" t="s">
        <v>526</v>
      </c>
      <c r="V48" s="659" t="s">
        <v>1152</v>
      </c>
      <c r="W48" s="660" t="s">
        <v>1138</v>
      </c>
      <c r="X48" s="660">
        <v>2.19</v>
      </c>
      <c r="Y48" s="661"/>
      <c r="Z48" s="1940"/>
      <c r="AA48" s="796"/>
      <c r="AB48" s="1023" t="s">
        <v>613</v>
      </c>
      <c r="AC48" s="1023">
        <v>12</v>
      </c>
      <c r="AD48" s="1023" t="s">
        <v>610</v>
      </c>
      <c r="AE48" s="604" t="e">
        <f ca="1">_xll.BADDPERIODS($AA$31,AB48,"numberofperiods="&amp;AC48,"per="&amp;AD48)</f>
        <v>#NAME?</v>
      </c>
      <c r="AF48" s="590"/>
    </row>
    <row r="49" spans="2:32" ht="14.25" customHeight="1">
      <c r="B49" s="801" t="s">
        <v>1139</v>
      </c>
      <c r="C49" s="2099" t="s">
        <v>1138</v>
      </c>
      <c r="D49" s="626">
        <v>1.473E-2</v>
      </c>
      <c r="E49" s="608">
        <v>2.027E-2</v>
      </c>
      <c r="F49" s="1802"/>
      <c r="G49" s="837">
        <v>44487</v>
      </c>
      <c r="H49" s="626">
        <v>1.473E-2</v>
      </c>
      <c r="I49" s="608">
        <v>1.455E-2</v>
      </c>
      <c r="J49" s="2094"/>
      <c r="K49" s="837">
        <v>43021</v>
      </c>
      <c r="L49" s="626">
        <v>4.7219999999999998E-2</v>
      </c>
      <c r="M49" s="658"/>
      <c r="O49" s="837">
        <v>46314</v>
      </c>
      <c r="P49" s="2105">
        <v>0.37380000000000002</v>
      </c>
      <c r="Q49" s="2105">
        <v>0.37406</v>
      </c>
      <c r="R49" s="2106">
        <v>0.37692999999999999</v>
      </c>
      <c r="S49" s="2106">
        <v>0.97033999999999998</v>
      </c>
      <c r="T49" s="2107" t="s">
        <v>1138</v>
      </c>
      <c r="U49" s="1940" t="s">
        <v>526</v>
      </c>
      <c r="V49" s="731"/>
      <c r="W49" s="732"/>
      <c r="X49" s="732"/>
      <c r="Y49" s="656"/>
      <c r="Z49" s="1940"/>
      <c r="AA49" s="796"/>
      <c r="AB49" s="1023" t="s">
        <v>613</v>
      </c>
      <c r="AC49" s="1023">
        <v>15</v>
      </c>
      <c r="AD49" s="1023" t="s">
        <v>610</v>
      </c>
      <c r="AE49" s="604" t="e">
        <f ca="1">_xll.BADDPERIODS($AA$31,AB49,"numberofperiods="&amp;AC49,"per="&amp;AD49)</f>
        <v>#NAME?</v>
      </c>
      <c r="AF49" s="590"/>
    </row>
    <row r="50" spans="2:32" ht="14.25" customHeight="1">
      <c r="B50" s="801" t="s">
        <v>1140</v>
      </c>
      <c r="C50" s="2099" t="s">
        <v>1138</v>
      </c>
      <c r="D50" s="626">
        <v>0.18865000000000001</v>
      </c>
      <c r="E50" s="608">
        <v>0.19475000000000001</v>
      </c>
      <c r="F50" s="1802"/>
      <c r="G50" s="837">
        <v>44852</v>
      </c>
      <c r="H50" s="626">
        <v>0.18865000000000001</v>
      </c>
      <c r="I50" s="608">
        <v>0.18909000000000001</v>
      </c>
      <c r="J50" s="2094"/>
      <c r="K50" s="837">
        <v>43388</v>
      </c>
      <c r="L50" s="626">
        <v>0.12892999999999999</v>
      </c>
      <c r="M50" s="658"/>
      <c r="O50" s="837">
        <v>46678</v>
      </c>
      <c r="P50" s="2105">
        <v>0.4753</v>
      </c>
      <c r="Q50" s="2105">
        <v>0.4753</v>
      </c>
      <c r="R50" s="2106">
        <v>0.48063</v>
      </c>
      <c r="S50" s="2106">
        <v>0.95776499999999998</v>
      </c>
      <c r="T50" s="2107" t="s">
        <v>1138</v>
      </c>
      <c r="U50" s="1940" t="s">
        <v>526</v>
      </c>
      <c r="V50" s="733"/>
      <c r="W50" s="589"/>
      <c r="X50" s="657"/>
      <c r="Y50" s="656"/>
      <c r="Z50" s="1940"/>
      <c r="AA50" s="796"/>
      <c r="AB50" s="1023" t="s">
        <v>613</v>
      </c>
      <c r="AC50" s="1023">
        <v>20</v>
      </c>
      <c r="AD50" s="1023" t="s">
        <v>610</v>
      </c>
      <c r="AE50" s="604" t="e">
        <f ca="1">_xll.BADDPERIODS($AA$31,AB50,"numberofperiods="&amp;AC50,"per="&amp;AD50)</f>
        <v>#NAME?</v>
      </c>
      <c r="AF50" s="590"/>
    </row>
    <row r="51" spans="2:32" ht="14.25" customHeight="1">
      <c r="B51" s="801" t="s">
        <v>1141</v>
      </c>
      <c r="C51" s="2099" t="s">
        <v>1138</v>
      </c>
      <c r="D51" s="626">
        <v>0.34859000000000001</v>
      </c>
      <c r="E51" s="608">
        <v>0.35441</v>
      </c>
      <c r="F51" s="1802"/>
      <c r="G51" s="837">
        <v>45217</v>
      </c>
      <c r="H51" s="626">
        <v>0.34859000000000001</v>
      </c>
      <c r="I51" s="608">
        <v>0.35032999999999997</v>
      </c>
      <c r="J51" s="2094"/>
      <c r="K51" s="837">
        <v>43752</v>
      </c>
      <c r="L51" s="626">
        <v>0.23513999999999999</v>
      </c>
      <c r="M51" s="658"/>
      <c r="O51" s="837">
        <v>47044</v>
      </c>
      <c r="P51" s="2105">
        <v>0.56659999999999999</v>
      </c>
      <c r="Q51" s="2105">
        <v>0.56659999999999999</v>
      </c>
      <c r="R51" s="2106">
        <v>0.57445000000000002</v>
      </c>
      <c r="S51" s="2106">
        <v>0.94432899999999997</v>
      </c>
      <c r="T51" s="2107" t="s">
        <v>1138</v>
      </c>
      <c r="U51" s="1940" t="s">
        <v>526</v>
      </c>
      <c r="V51" s="1022" t="str">
        <f>_xll.BCurveStrip(X25,Y25,V26:X48,"refire=false")</f>
        <v>EUR.6M:BLOOMBERG DC 173909</v>
      </c>
      <c r="W51" s="623" t="s">
        <v>1194</v>
      </c>
      <c r="X51" s="657"/>
      <c r="Y51" s="656"/>
      <c r="Z51" s="1940"/>
      <c r="AA51" s="796"/>
      <c r="AB51" s="1031" t="s">
        <v>613</v>
      </c>
      <c r="AC51" s="1031">
        <v>30</v>
      </c>
      <c r="AD51" s="1022" t="s">
        <v>610</v>
      </c>
      <c r="AE51" s="604" t="e">
        <f ca="1">_xll.BADDPERIODS($AA$31,AB51,"numberofperiods="&amp;AC51,"per="&amp;AD51)</f>
        <v>#NAME?</v>
      </c>
      <c r="AF51" s="590"/>
    </row>
    <row r="52" spans="2:32" ht="14.25" customHeight="1">
      <c r="B52" s="801" t="s">
        <v>1142</v>
      </c>
      <c r="C52" s="2099" t="s">
        <v>1138</v>
      </c>
      <c r="D52" s="626">
        <v>0.49334</v>
      </c>
      <c r="E52" s="608">
        <v>0.49965999999999999</v>
      </c>
      <c r="F52" s="1802"/>
      <c r="G52" s="837">
        <v>45583</v>
      </c>
      <c r="H52" s="626">
        <v>0.49334</v>
      </c>
      <c r="I52" s="608">
        <v>0.49703999999999998</v>
      </c>
      <c r="J52" s="2094"/>
      <c r="K52" s="837">
        <v>44117</v>
      </c>
      <c r="L52" s="626">
        <v>0.36255999999999999</v>
      </c>
      <c r="M52" s="658"/>
      <c r="O52" s="837">
        <v>47774</v>
      </c>
      <c r="P52" s="2105">
        <v>0.67249999999999999</v>
      </c>
      <c r="Q52" s="2105">
        <v>0.67249999999999999</v>
      </c>
      <c r="R52" s="2106">
        <v>0.68366000000000005</v>
      </c>
      <c r="S52" s="2106">
        <v>0.92149300000000001</v>
      </c>
      <c r="T52" s="2107" t="s">
        <v>1138</v>
      </c>
      <c r="U52" s="1940" t="s">
        <v>526</v>
      </c>
      <c r="V52" s="796"/>
      <c r="W52" s="589"/>
      <c r="X52" s="589"/>
      <c r="Y52" s="590"/>
      <c r="Z52" s="1940"/>
      <c r="AA52" s="796"/>
      <c r="AB52" s="589"/>
      <c r="AC52" s="589"/>
      <c r="AD52" s="589"/>
      <c r="AE52" s="589"/>
      <c r="AF52" s="590"/>
    </row>
    <row r="53" spans="2:32" ht="14.25" customHeight="1">
      <c r="B53" s="801" t="s">
        <v>1143</v>
      </c>
      <c r="C53" s="2099" t="s">
        <v>1138</v>
      </c>
      <c r="D53" s="626">
        <v>0.62914999999999999</v>
      </c>
      <c r="E53" s="608">
        <v>0.63524999999999998</v>
      </c>
      <c r="F53" s="1802"/>
      <c r="G53" s="837">
        <v>45950</v>
      </c>
      <c r="H53" s="626">
        <v>0.62919999999999998</v>
      </c>
      <c r="I53" s="608">
        <v>0.63558000000000003</v>
      </c>
      <c r="J53" s="2094"/>
      <c r="K53" s="837">
        <v>44482</v>
      </c>
      <c r="L53" s="626">
        <v>0.49873000000000001</v>
      </c>
      <c r="M53" s="658"/>
      <c r="O53" s="837">
        <v>48870</v>
      </c>
      <c r="P53" s="2105">
        <v>0.84</v>
      </c>
      <c r="Q53" s="2105">
        <v>0.84</v>
      </c>
      <c r="R53" s="2106">
        <v>0.85994000000000004</v>
      </c>
      <c r="S53" s="2106">
        <v>0.879467</v>
      </c>
      <c r="T53" s="2107" t="s">
        <v>1138</v>
      </c>
      <c r="U53" s="1940" t="s">
        <v>526</v>
      </c>
      <c r="V53" s="734" t="s">
        <v>1287</v>
      </c>
      <c r="W53" s="657"/>
      <c r="X53" s="657"/>
      <c r="Y53" s="656"/>
      <c r="Z53" s="1941"/>
      <c r="AA53" s="796"/>
      <c r="AB53" s="589"/>
      <c r="AC53" s="589"/>
      <c r="AD53" s="589"/>
      <c r="AE53" s="589"/>
      <c r="AF53" s="590"/>
    </row>
    <row r="54" spans="2:32" ht="14.25" customHeight="1">
      <c r="B54" s="801" t="s">
        <v>1144</v>
      </c>
      <c r="C54" s="2099" t="s">
        <v>1138</v>
      </c>
      <c r="D54" s="626">
        <v>0.75199000000000005</v>
      </c>
      <c r="E54" s="608">
        <v>0.75800999999999996</v>
      </c>
      <c r="F54" s="1802"/>
      <c r="G54" s="837">
        <v>46314</v>
      </c>
      <c r="H54" s="626">
        <v>0.75202999999999998</v>
      </c>
      <c r="I54" s="608">
        <v>0.76187000000000005</v>
      </c>
      <c r="J54" s="2094"/>
      <c r="K54" s="837">
        <v>44847</v>
      </c>
      <c r="L54" s="626">
        <v>0.63815999999999995</v>
      </c>
      <c r="M54" s="658"/>
      <c r="O54" s="837">
        <v>50696</v>
      </c>
      <c r="P54" s="2105">
        <v>0.99250000000000005</v>
      </c>
      <c r="Q54" s="2105">
        <v>0.99250000000000005</v>
      </c>
      <c r="R54" s="2106">
        <v>1.02247</v>
      </c>
      <c r="S54" s="2106">
        <v>0.81590700000000005</v>
      </c>
      <c r="T54" s="2107" t="s">
        <v>1138</v>
      </c>
      <c r="U54" s="1940" t="s">
        <v>526</v>
      </c>
      <c r="V54" s="801" t="s">
        <v>494</v>
      </c>
      <c r="W54" s="654" t="s">
        <v>1125</v>
      </c>
      <c r="X54" s="654" t="s">
        <v>1126</v>
      </c>
      <c r="Y54" s="658" t="s">
        <v>1127</v>
      </c>
      <c r="Z54" s="1940"/>
      <c r="AA54" s="796"/>
      <c r="AB54" s="589"/>
      <c r="AC54" s="589"/>
      <c r="AD54" s="589"/>
      <c r="AE54" s="589"/>
      <c r="AF54" s="590"/>
    </row>
    <row r="55" spans="2:32" ht="14.25" customHeight="1">
      <c r="B55" s="801" t="s">
        <v>1145</v>
      </c>
      <c r="C55" s="2099" t="s">
        <v>1138</v>
      </c>
      <c r="D55" s="626">
        <v>0.8639</v>
      </c>
      <c r="E55" s="608">
        <v>0.87009999999999998</v>
      </c>
      <c r="F55" s="1802"/>
      <c r="G55" s="837">
        <v>46678</v>
      </c>
      <c r="H55" s="626">
        <v>0.8639</v>
      </c>
      <c r="I55" s="608">
        <v>0.87778</v>
      </c>
      <c r="J55" s="2094"/>
      <c r="K55" s="837">
        <v>45212</v>
      </c>
      <c r="L55" s="626">
        <v>0.77124000000000004</v>
      </c>
      <c r="M55" s="658"/>
      <c r="O55" s="837">
        <v>52523</v>
      </c>
      <c r="P55" s="2105">
        <v>1.05</v>
      </c>
      <c r="Q55" s="2105">
        <v>1.05009</v>
      </c>
      <c r="R55" s="2106">
        <v>1.0820399999999999</v>
      </c>
      <c r="S55" s="2106">
        <v>0.76407700000000001</v>
      </c>
      <c r="T55" s="2107" t="s">
        <v>1138</v>
      </c>
      <c r="U55" s="1940" t="s">
        <v>526</v>
      </c>
      <c r="V55" s="2101">
        <f>_xll.BView(V51,V54:Y54,"cols=4;rows=22")</f>
        <v>42789</v>
      </c>
      <c r="W55" s="2102">
        <v>0.34100000000000003</v>
      </c>
      <c r="X55" s="2102">
        <v>0.34100000000000003</v>
      </c>
      <c r="Y55" s="608">
        <v>0.34100000000000003</v>
      </c>
      <c r="Z55" s="1940"/>
      <c r="AA55" s="796"/>
      <c r="AB55" s="589"/>
      <c r="AC55" s="589"/>
      <c r="AD55" s="589"/>
      <c r="AE55" s="589"/>
      <c r="AF55" s="590"/>
    </row>
    <row r="56" spans="2:32" ht="14.25" customHeight="1">
      <c r="B56" s="801" t="s">
        <v>1146</v>
      </c>
      <c r="C56" s="2099" t="s">
        <v>1138</v>
      </c>
      <c r="D56" s="626">
        <v>0.94599999999999995</v>
      </c>
      <c r="E56" s="608">
        <v>0.996</v>
      </c>
      <c r="F56" s="1802"/>
      <c r="G56" s="837">
        <v>47044</v>
      </c>
      <c r="H56" s="626">
        <v>0.94599999999999995</v>
      </c>
      <c r="I56" s="608">
        <v>0.96311000000000002</v>
      </c>
      <c r="J56" s="2094"/>
      <c r="K56" s="837">
        <v>45579</v>
      </c>
      <c r="L56" s="626">
        <v>0.89553000000000005</v>
      </c>
      <c r="M56" s="658"/>
      <c r="O56" s="837">
        <v>54350</v>
      </c>
      <c r="P56" s="2105">
        <v>1.0674999999999999</v>
      </c>
      <c r="Q56" s="2105">
        <v>1.06758</v>
      </c>
      <c r="R56" s="2106">
        <v>1.09731</v>
      </c>
      <c r="S56" s="2106">
        <v>0.720773</v>
      </c>
      <c r="T56" s="2107" t="s">
        <v>1138</v>
      </c>
      <c r="U56" s="1940" t="s">
        <v>526</v>
      </c>
      <c r="V56" s="2103">
        <v>42797</v>
      </c>
      <c r="W56" s="2102">
        <v>0.318</v>
      </c>
      <c r="X56" s="2102">
        <v>0.318</v>
      </c>
      <c r="Y56" s="608">
        <v>0.318</v>
      </c>
      <c r="Z56" s="1940"/>
      <c r="AA56" s="796"/>
      <c r="AB56" s="589"/>
      <c r="AC56" s="589"/>
      <c r="AD56" s="589"/>
      <c r="AE56" s="589"/>
      <c r="AF56" s="590"/>
    </row>
    <row r="57" spans="2:32" ht="14.25" customHeight="1">
      <c r="B57" s="801" t="s">
        <v>1147</v>
      </c>
      <c r="C57" s="2099" t="s">
        <v>1138</v>
      </c>
      <c r="D57" s="626">
        <v>1.0534600000000001</v>
      </c>
      <c r="E57" s="608">
        <v>1.06054</v>
      </c>
      <c r="F57" s="1802"/>
      <c r="G57" s="837">
        <v>47409</v>
      </c>
      <c r="H57" s="626">
        <v>1.0534600000000001</v>
      </c>
      <c r="I57" s="608">
        <v>1.0766100000000001</v>
      </c>
      <c r="J57" s="2094"/>
      <c r="K57" s="837">
        <v>45943</v>
      </c>
      <c r="L57" s="626">
        <v>1.00712</v>
      </c>
      <c r="M57" s="658"/>
      <c r="O57" s="730"/>
      <c r="P57" s="1007"/>
      <c r="Q57" s="1007"/>
      <c r="R57" s="609"/>
      <c r="S57" s="609"/>
      <c r="T57" s="1030"/>
      <c r="U57" s="1940" t="s">
        <v>526</v>
      </c>
      <c r="V57" s="2104">
        <v>42818</v>
      </c>
      <c r="W57" s="626">
        <v>0.39700000000000002</v>
      </c>
      <c r="X57" s="626">
        <v>0.39700000000000002</v>
      </c>
      <c r="Y57" s="608">
        <v>0.39700000000000002</v>
      </c>
      <c r="Z57" s="1940"/>
      <c r="AA57" s="796"/>
      <c r="AB57" s="589"/>
      <c r="AC57" s="589"/>
      <c r="AD57" s="589"/>
      <c r="AE57" s="589"/>
      <c r="AF57" s="590"/>
    </row>
    <row r="58" spans="2:32" ht="14.25" customHeight="1">
      <c r="B58" s="801" t="s">
        <v>1148</v>
      </c>
      <c r="C58" s="2099" t="s">
        <v>1138</v>
      </c>
      <c r="D58" s="626">
        <v>1.1336200000000001</v>
      </c>
      <c r="E58" s="608">
        <v>1.1403799999999999</v>
      </c>
      <c r="F58" s="1802"/>
      <c r="G58" s="837">
        <v>47774</v>
      </c>
      <c r="H58" s="626">
        <v>1.1336200000000001</v>
      </c>
      <c r="I58" s="608">
        <v>1.16161</v>
      </c>
      <c r="J58" s="2094"/>
      <c r="K58" s="837">
        <v>46308</v>
      </c>
      <c r="L58" s="626">
        <v>1.1038600000000001</v>
      </c>
      <c r="M58" s="658"/>
      <c r="O58" s="730"/>
      <c r="P58" s="1007"/>
      <c r="Q58" s="1007"/>
      <c r="R58" s="609"/>
      <c r="S58" s="609"/>
      <c r="T58" s="1030"/>
      <c r="U58" s="1940" t="s">
        <v>526</v>
      </c>
      <c r="V58" s="2104">
        <v>42849</v>
      </c>
      <c r="W58" s="626">
        <v>0.501</v>
      </c>
      <c r="X58" s="626">
        <v>0.501</v>
      </c>
      <c r="Y58" s="608">
        <v>0.501</v>
      </c>
      <c r="Z58" s="1940"/>
      <c r="AA58" s="796"/>
      <c r="AB58" s="589"/>
      <c r="AC58" s="589"/>
      <c r="AD58" s="589"/>
      <c r="AE58" s="589"/>
      <c r="AF58" s="590"/>
    </row>
    <row r="59" spans="2:32" ht="14.25" customHeight="1">
      <c r="B59" s="801" t="s">
        <v>1149</v>
      </c>
      <c r="C59" s="2099" t="s">
        <v>1138</v>
      </c>
      <c r="D59" s="626">
        <v>1.31393</v>
      </c>
      <c r="E59" s="608">
        <v>1.32107</v>
      </c>
      <c r="F59" s="1802"/>
      <c r="G59" s="837">
        <v>48870</v>
      </c>
      <c r="H59" s="626">
        <v>1.31393</v>
      </c>
      <c r="I59" s="608">
        <v>1.3547800000000001</v>
      </c>
      <c r="J59" s="2094"/>
      <c r="K59" s="837">
        <v>46673</v>
      </c>
      <c r="L59" s="626">
        <v>1.19557</v>
      </c>
      <c r="M59" s="658"/>
      <c r="O59" s="730"/>
      <c r="P59" s="1007"/>
      <c r="Q59" s="1007"/>
      <c r="R59" s="609"/>
      <c r="S59" s="609"/>
      <c r="T59" s="1030"/>
      <c r="U59" s="1940"/>
      <c r="V59" s="2104">
        <v>42879</v>
      </c>
      <c r="W59" s="626">
        <v>0.68899999999999995</v>
      </c>
      <c r="X59" s="626">
        <v>0.68899999999999995</v>
      </c>
      <c r="Y59" s="608">
        <v>0.68899999999999995</v>
      </c>
      <c r="Z59" s="1940"/>
      <c r="AA59" s="796"/>
      <c r="AB59" s="589"/>
      <c r="AC59" s="589"/>
      <c r="AD59" s="589"/>
      <c r="AE59" s="589"/>
      <c r="AF59" s="590"/>
    </row>
    <row r="60" spans="2:32" ht="14.25" customHeight="1">
      <c r="B60" s="801" t="s">
        <v>1150</v>
      </c>
      <c r="C60" s="2099" t="s">
        <v>1138</v>
      </c>
      <c r="D60" s="626">
        <v>1.4739199999999999</v>
      </c>
      <c r="E60" s="608">
        <v>1.4812799999999999</v>
      </c>
      <c r="F60" s="1802"/>
      <c r="G60" s="837">
        <v>50696</v>
      </c>
      <c r="H60" s="626">
        <v>1.4739199999999999</v>
      </c>
      <c r="I60" s="608">
        <v>1.52782</v>
      </c>
      <c r="J60" s="2094"/>
      <c r="K60" s="837">
        <v>47770</v>
      </c>
      <c r="L60" s="626">
        <v>1.3947099999999999</v>
      </c>
      <c r="M60" s="658"/>
      <c r="O60" s="730"/>
      <c r="P60" s="1007"/>
      <c r="Q60" s="1007"/>
      <c r="R60" s="609"/>
      <c r="S60" s="609"/>
      <c r="T60" s="1030"/>
      <c r="U60" s="1940"/>
      <c r="V60" s="2104">
        <v>42912</v>
      </c>
      <c r="W60" s="626">
        <v>0.79400000000000004</v>
      </c>
      <c r="X60" s="626">
        <v>0.79400000000000004</v>
      </c>
      <c r="Y60" s="608">
        <v>0.79400000000000004</v>
      </c>
      <c r="Z60" s="1940"/>
      <c r="AA60" s="796"/>
      <c r="AB60" s="589"/>
      <c r="AC60" s="589"/>
      <c r="AD60" s="589"/>
      <c r="AE60" s="589"/>
      <c r="AF60" s="590"/>
    </row>
    <row r="61" spans="2:32" ht="14.25" customHeight="1">
      <c r="B61" s="801" t="s">
        <v>1151</v>
      </c>
      <c r="C61" s="2099" t="s">
        <v>1138</v>
      </c>
      <c r="D61" s="626">
        <v>1.5249299999999999</v>
      </c>
      <c r="E61" s="608">
        <v>1.53226</v>
      </c>
      <c r="F61" s="1802"/>
      <c r="G61" s="837">
        <v>52523</v>
      </c>
      <c r="H61" s="626">
        <v>1.52495</v>
      </c>
      <c r="I61" s="608">
        <v>1.5785400000000001</v>
      </c>
      <c r="J61" s="2094"/>
      <c r="K61" s="837">
        <v>49597</v>
      </c>
      <c r="L61" s="626">
        <v>1.5632699999999999</v>
      </c>
      <c r="M61" s="658"/>
      <c r="O61" s="730"/>
      <c r="P61" s="1007"/>
      <c r="Q61" s="1007"/>
      <c r="R61" s="609"/>
      <c r="S61" s="609"/>
      <c r="T61" s="1030"/>
      <c r="U61" s="1940"/>
      <c r="V61" s="2104">
        <v>42940</v>
      </c>
      <c r="W61" s="626">
        <v>0.88600000000000001</v>
      </c>
      <c r="X61" s="626">
        <v>0.88600000000000001</v>
      </c>
      <c r="Y61" s="608">
        <v>0.88600000000000001</v>
      </c>
      <c r="Z61" s="1940"/>
      <c r="AA61" s="796"/>
      <c r="AB61" s="589"/>
      <c r="AC61" s="589"/>
      <c r="AD61" s="589"/>
      <c r="AE61" s="589"/>
      <c r="AF61" s="590"/>
    </row>
    <row r="62" spans="2:32" ht="14.25" customHeight="1">
      <c r="B62" s="801" t="s">
        <v>1152</v>
      </c>
      <c r="C62" s="2099" t="s">
        <v>1138</v>
      </c>
      <c r="D62" s="626">
        <v>1.5360799999999999</v>
      </c>
      <c r="E62" s="608">
        <v>1.54352</v>
      </c>
      <c r="F62" s="1802"/>
      <c r="G62" s="837">
        <v>54350</v>
      </c>
      <c r="H62" s="626">
        <v>1.53609</v>
      </c>
      <c r="I62" s="608">
        <v>1.58368</v>
      </c>
      <c r="J62" s="2094"/>
      <c r="K62" s="837">
        <v>51424</v>
      </c>
      <c r="L62" s="626">
        <v>1.5952500000000001</v>
      </c>
      <c r="M62" s="658"/>
      <c r="O62" s="730"/>
      <c r="P62" s="1007"/>
      <c r="Q62" s="1007"/>
      <c r="R62" s="609"/>
      <c r="S62" s="609"/>
      <c r="T62" s="1030"/>
      <c r="U62" s="1940"/>
      <c r="V62" s="2104">
        <v>42971</v>
      </c>
      <c r="W62" s="626">
        <v>0.97799999999999998</v>
      </c>
      <c r="X62" s="626">
        <v>0.97799999999999998</v>
      </c>
      <c r="Y62" s="608">
        <v>0.97799999999999998</v>
      </c>
      <c r="Z62" s="1940"/>
      <c r="AA62" s="796"/>
      <c r="AB62" s="589"/>
      <c r="AC62" s="589"/>
      <c r="AD62" s="589"/>
      <c r="AE62" s="589"/>
      <c r="AF62" s="590"/>
    </row>
    <row r="63" spans="2:32" ht="14.25" customHeight="1">
      <c r="B63" s="801" t="s">
        <v>1153</v>
      </c>
      <c r="C63" s="2099" t="s">
        <v>1138</v>
      </c>
      <c r="D63" s="626">
        <v>1.5330699999999999</v>
      </c>
      <c r="E63" s="608">
        <v>1.54653</v>
      </c>
      <c r="F63" s="1802"/>
      <c r="G63" s="837">
        <v>56177</v>
      </c>
      <c r="H63" s="626">
        <v>1.53308</v>
      </c>
      <c r="I63" s="608">
        <v>1.57287</v>
      </c>
      <c r="J63" s="2094"/>
      <c r="K63" s="837">
        <v>53248</v>
      </c>
      <c r="L63" s="626">
        <v>1.5931599999999999</v>
      </c>
      <c r="M63" s="658"/>
      <c r="O63" s="730"/>
      <c r="P63" s="1007"/>
      <c r="Q63" s="1007"/>
      <c r="R63" s="609"/>
      <c r="S63" s="609"/>
      <c r="T63" s="1030"/>
      <c r="U63" s="1940"/>
      <c r="V63" s="2104">
        <v>43157</v>
      </c>
      <c r="W63" s="626">
        <v>0.93600000000000005</v>
      </c>
      <c r="X63" s="626">
        <v>0.95904999999999996</v>
      </c>
      <c r="Y63" s="608">
        <v>0.95904999999999996</v>
      </c>
      <c r="Z63" s="1940"/>
      <c r="AA63" s="796"/>
      <c r="AB63" s="589"/>
      <c r="AC63" s="589"/>
      <c r="AD63" s="589"/>
      <c r="AE63" s="589"/>
      <c r="AF63" s="590"/>
    </row>
    <row r="64" spans="2:32" ht="14.25" customHeight="1">
      <c r="B64" s="801" t="s">
        <v>1154</v>
      </c>
      <c r="C64" s="2099" t="s">
        <v>1138</v>
      </c>
      <c r="D64" s="626">
        <v>1.53335</v>
      </c>
      <c r="E64" s="608">
        <v>1.54365</v>
      </c>
      <c r="F64" s="1939"/>
      <c r="G64" s="837">
        <v>58001</v>
      </c>
      <c r="H64" s="626">
        <v>1.53335</v>
      </c>
      <c r="I64" s="608">
        <v>1.5683800000000001</v>
      </c>
      <c r="J64" s="2094"/>
      <c r="K64" s="837">
        <v>55074</v>
      </c>
      <c r="L64" s="626">
        <v>1.5876399999999999</v>
      </c>
      <c r="M64" s="658"/>
      <c r="O64" s="730"/>
      <c r="P64" s="1032"/>
      <c r="Q64" s="1032"/>
      <c r="R64" s="609"/>
      <c r="S64" s="609"/>
      <c r="T64" s="1030"/>
      <c r="U64" s="1940"/>
      <c r="V64" s="2104">
        <v>43336</v>
      </c>
      <c r="W64" s="626">
        <v>0.92200000000000004</v>
      </c>
      <c r="X64" s="626">
        <v>0.94986000000000004</v>
      </c>
      <c r="Y64" s="608">
        <v>0.94986000000000004</v>
      </c>
      <c r="Z64" s="1940"/>
      <c r="AA64" s="796"/>
      <c r="AB64" s="589"/>
      <c r="AC64" s="589"/>
      <c r="AD64" s="589"/>
      <c r="AE64" s="589"/>
      <c r="AF64" s="590"/>
    </row>
    <row r="65" spans="1:32" ht="14.25" customHeight="1">
      <c r="B65" s="801" t="s">
        <v>1155</v>
      </c>
      <c r="C65" s="2099" t="s">
        <v>1138</v>
      </c>
      <c r="D65" s="626">
        <v>1.5119899999999999</v>
      </c>
      <c r="E65" s="608">
        <v>1.522</v>
      </c>
      <c r="F65" s="1939"/>
      <c r="G65" s="837">
        <v>61654</v>
      </c>
      <c r="H65" s="626">
        <v>1.5119899999999999</v>
      </c>
      <c r="I65" s="608">
        <v>1.53179</v>
      </c>
      <c r="J65" s="1939"/>
      <c r="K65" s="837">
        <v>56900</v>
      </c>
      <c r="L65" s="626">
        <v>1.57274</v>
      </c>
      <c r="M65" s="658"/>
      <c r="O65" s="796"/>
      <c r="P65" s="589"/>
      <c r="Q65" s="589"/>
      <c r="R65" s="589"/>
      <c r="S65" s="589"/>
      <c r="T65" s="592"/>
      <c r="U65" s="1940"/>
      <c r="V65" s="2104">
        <v>43521</v>
      </c>
      <c r="W65" s="626">
        <v>1.016</v>
      </c>
      <c r="X65" s="626">
        <v>0.97030000000000005</v>
      </c>
      <c r="Y65" s="608">
        <v>0.97030000000000005</v>
      </c>
      <c r="Z65" s="1940"/>
      <c r="AA65" s="796"/>
      <c r="AB65" s="589"/>
      <c r="AC65" s="589"/>
      <c r="AD65" s="589"/>
      <c r="AE65" s="589"/>
      <c r="AF65" s="590"/>
    </row>
    <row r="66" spans="1:32" ht="14.25" customHeight="1">
      <c r="B66" s="801"/>
      <c r="C66" s="2099"/>
      <c r="D66" s="626"/>
      <c r="E66" s="608"/>
      <c r="F66" s="1939"/>
      <c r="G66" s="837"/>
      <c r="H66" s="626"/>
      <c r="I66" s="2096"/>
      <c r="J66" s="2097"/>
      <c r="K66" s="837">
        <v>58727</v>
      </c>
      <c r="L66" s="626">
        <v>1.5472999999999999</v>
      </c>
      <c r="M66" s="658"/>
      <c r="O66" s="796"/>
      <c r="P66" s="589"/>
      <c r="Q66" s="589"/>
      <c r="R66" s="589"/>
      <c r="S66" s="589"/>
      <c r="T66" s="610"/>
      <c r="U66" s="1940"/>
      <c r="V66" s="2104">
        <v>43885</v>
      </c>
      <c r="W66" s="626">
        <v>1.069</v>
      </c>
      <c r="X66" s="626">
        <v>1.069</v>
      </c>
      <c r="Y66" s="608">
        <v>1.2757099999999999</v>
      </c>
      <c r="Z66" s="1940"/>
      <c r="AA66" s="796"/>
      <c r="AB66" s="589"/>
      <c r="AC66" s="589"/>
      <c r="AD66" s="589"/>
      <c r="AE66" s="589"/>
      <c r="AF66" s="590"/>
    </row>
    <row r="67" spans="1:32" ht="14.25" customHeight="1">
      <c r="B67" s="801"/>
      <c r="C67" s="2098"/>
      <c r="D67" s="607"/>
      <c r="E67" s="658"/>
      <c r="F67" s="1939"/>
      <c r="G67" s="837"/>
      <c r="H67" s="626"/>
      <c r="I67" s="608"/>
      <c r="J67" s="1939"/>
      <c r="K67" s="837">
        <v>60553</v>
      </c>
      <c r="L67" s="626">
        <v>1.50376</v>
      </c>
      <c r="M67" s="658"/>
      <c r="N67" s="1940"/>
      <c r="O67" s="611"/>
      <c r="P67" s="612"/>
      <c r="Q67" s="609"/>
      <c r="R67" s="589"/>
      <c r="S67" s="589"/>
      <c r="T67" s="592"/>
      <c r="V67" s="2104">
        <v>44251</v>
      </c>
      <c r="W67" s="626">
        <v>1.196</v>
      </c>
      <c r="X67" s="626">
        <v>1.196</v>
      </c>
      <c r="Y67" s="608">
        <v>1.3522700000000001</v>
      </c>
      <c r="AA67" s="796"/>
      <c r="AB67" s="589"/>
      <c r="AC67" s="589"/>
      <c r="AD67" s="589"/>
      <c r="AE67" s="589"/>
      <c r="AF67" s="590"/>
    </row>
    <row r="68" spans="1:32" ht="14.25" customHeight="1">
      <c r="A68" s="1796"/>
      <c r="B68" s="801"/>
      <c r="C68" s="2098"/>
      <c r="D68" s="607"/>
      <c r="E68" s="658"/>
      <c r="F68" s="1939"/>
      <c r="G68" s="801"/>
      <c r="H68" s="607"/>
      <c r="I68" s="658"/>
      <c r="J68" s="1939"/>
      <c r="K68" s="837"/>
      <c r="L68" s="626"/>
      <c r="M68" s="658"/>
      <c r="O68" s="796"/>
      <c r="P68" s="589"/>
      <c r="Q68" s="589"/>
      <c r="R68" s="589"/>
      <c r="S68" s="589"/>
      <c r="T68" s="592"/>
      <c r="V68" s="2104">
        <v>44616</v>
      </c>
      <c r="W68" s="626">
        <v>1.3480000000000001</v>
      </c>
      <c r="X68" s="626">
        <v>1.3480000000000001</v>
      </c>
      <c r="Y68" s="608">
        <v>1.4744699999999999</v>
      </c>
      <c r="AA68" s="796"/>
      <c r="AB68" s="589"/>
      <c r="AC68" s="589"/>
      <c r="AD68" s="589"/>
      <c r="AE68" s="589"/>
      <c r="AF68" s="590"/>
    </row>
    <row r="69" spans="1:32" ht="14.25" customHeight="1">
      <c r="B69" s="801"/>
      <c r="C69" s="2098"/>
      <c r="D69" s="607"/>
      <c r="E69" s="658"/>
      <c r="F69" s="1939"/>
      <c r="G69" s="801"/>
      <c r="H69" s="607"/>
      <c r="I69" s="658"/>
      <c r="J69" s="1939"/>
      <c r="K69" s="837"/>
      <c r="L69" s="626"/>
      <c r="M69" s="658"/>
      <c r="O69" s="796"/>
      <c r="P69" s="589"/>
      <c r="Q69" s="589"/>
      <c r="R69" s="589"/>
      <c r="S69" s="589"/>
      <c r="T69" s="592"/>
      <c r="V69" s="2104">
        <v>44981</v>
      </c>
      <c r="W69" s="626">
        <v>1.504</v>
      </c>
      <c r="X69" s="626">
        <v>1.504</v>
      </c>
      <c r="Y69" s="608">
        <v>1.6113900000000001</v>
      </c>
      <c r="AA69" s="796"/>
      <c r="AB69" s="589"/>
      <c r="AC69" s="589"/>
      <c r="AD69" s="589"/>
      <c r="AE69" s="589"/>
      <c r="AF69" s="590"/>
    </row>
    <row r="70" spans="1:32" ht="14.25" customHeight="1">
      <c r="B70" s="801"/>
      <c r="C70" s="2098"/>
      <c r="D70" s="607"/>
      <c r="E70" s="658"/>
      <c r="F70" s="1939"/>
      <c r="G70" s="801"/>
      <c r="H70" s="607"/>
      <c r="I70" s="658"/>
      <c r="J70" s="1939"/>
      <c r="K70" s="837"/>
      <c r="L70" s="626"/>
      <c r="M70" s="658"/>
      <c r="O70" s="796"/>
      <c r="P70" s="589"/>
      <c r="Q70" s="589"/>
      <c r="R70" s="589"/>
      <c r="S70" s="589"/>
      <c r="T70" s="592"/>
      <c r="V70" s="2104">
        <v>45348</v>
      </c>
      <c r="W70" s="626">
        <v>1.6435</v>
      </c>
      <c r="X70" s="626">
        <v>1.5531600000000001</v>
      </c>
      <c r="Y70" s="608">
        <v>1.73814</v>
      </c>
      <c r="AA70" s="796"/>
      <c r="AB70" s="589"/>
      <c r="AC70" s="589"/>
      <c r="AD70" s="589"/>
      <c r="AE70" s="589"/>
      <c r="AF70" s="590"/>
    </row>
    <row r="71" spans="1:32" ht="14.25" customHeight="1">
      <c r="B71" s="801"/>
      <c r="C71" s="2098"/>
      <c r="D71" s="607"/>
      <c r="E71" s="658"/>
      <c r="F71" s="1939"/>
      <c r="G71" s="801"/>
      <c r="H71" s="607"/>
      <c r="I71" s="658"/>
      <c r="J71" s="1939"/>
      <c r="K71" s="837"/>
      <c r="L71" s="626"/>
      <c r="M71" s="658"/>
      <c r="O71" s="796"/>
      <c r="P71" s="589"/>
      <c r="Q71" s="589"/>
      <c r="R71" s="589"/>
      <c r="S71" s="589"/>
      <c r="T71" s="592"/>
      <c r="V71" s="2104">
        <v>45712</v>
      </c>
      <c r="W71" s="626">
        <v>1.7649999999999999</v>
      </c>
      <c r="X71" s="626">
        <v>1.7649999999999999</v>
      </c>
      <c r="Y71" s="608">
        <v>1.8512599999999999</v>
      </c>
      <c r="AA71" s="796"/>
      <c r="AB71" s="589"/>
      <c r="AC71" s="589"/>
      <c r="AD71" s="589"/>
      <c r="AE71" s="589"/>
      <c r="AF71" s="590"/>
    </row>
    <row r="72" spans="1:32" ht="14.25" customHeight="1">
      <c r="B72" s="801"/>
      <c r="C72" s="2098"/>
      <c r="D72" s="607"/>
      <c r="E72" s="658"/>
      <c r="F72" s="1939"/>
      <c r="G72" s="801"/>
      <c r="H72" s="607"/>
      <c r="I72" s="658"/>
      <c r="J72" s="1939"/>
      <c r="K72" s="837"/>
      <c r="L72" s="626"/>
      <c r="M72" s="658"/>
      <c r="O72" s="796"/>
      <c r="P72" s="589"/>
      <c r="Q72" s="589"/>
      <c r="R72" s="589"/>
      <c r="S72" s="589"/>
      <c r="T72" s="592"/>
      <c r="V72" s="2104">
        <v>46077</v>
      </c>
      <c r="W72" s="626">
        <v>1.87</v>
      </c>
      <c r="X72" s="626">
        <v>1.87</v>
      </c>
      <c r="Y72" s="608">
        <v>1.9507000000000001</v>
      </c>
      <c r="AA72" s="796"/>
      <c r="AB72" s="589"/>
      <c r="AC72" s="589"/>
      <c r="AD72" s="589"/>
      <c r="AE72" s="589"/>
      <c r="AF72" s="590"/>
    </row>
    <row r="73" spans="1:32" ht="14.25" customHeight="1">
      <c r="B73" s="801"/>
      <c r="C73" s="2098"/>
      <c r="D73" s="607"/>
      <c r="E73" s="658"/>
      <c r="F73" s="1939"/>
      <c r="G73" s="801"/>
      <c r="H73" s="607"/>
      <c r="I73" s="658"/>
      <c r="J73" s="1939"/>
      <c r="K73" s="801"/>
      <c r="L73" s="607"/>
      <c r="M73" s="658"/>
      <c r="O73" s="796"/>
      <c r="P73" s="589"/>
      <c r="Q73" s="589"/>
      <c r="R73" s="589"/>
      <c r="S73" s="589"/>
      <c r="T73" s="592"/>
      <c r="V73" s="2104">
        <v>46442</v>
      </c>
      <c r="W73" s="626">
        <v>1.958</v>
      </c>
      <c r="X73" s="626">
        <v>1.958</v>
      </c>
      <c r="Y73" s="608">
        <v>2.0350600000000001</v>
      </c>
      <c r="AA73" s="796"/>
      <c r="AB73" s="589"/>
      <c r="AC73" s="589"/>
      <c r="AD73" s="589"/>
      <c r="AE73" s="589"/>
      <c r="AF73" s="590"/>
    </row>
    <row r="74" spans="1:32" ht="14.25" customHeight="1">
      <c r="B74" s="801"/>
      <c r="C74" s="2098"/>
      <c r="D74" s="607"/>
      <c r="E74" s="658"/>
      <c r="F74" s="1939"/>
      <c r="G74" s="801"/>
      <c r="H74" s="607"/>
      <c r="I74" s="658"/>
      <c r="J74" s="1939"/>
      <c r="K74" s="801"/>
      <c r="L74" s="607"/>
      <c r="M74" s="658"/>
      <c r="O74" s="796"/>
      <c r="P74" s="589"/>
      <c r="Q74" s="589"/>
      <c r="R74" s="589"/>
      <c r="S74" s="589"/>
      <c r="T74" s="592"/>
      <c r="V74" s="2104">
        <v>48268</v>
      </c>
      <c r="W74" s="626">
        <v>2.262</v>
      </c>
      <c r="X74" s="626">
        <v>2.262</v>
      </c>
      <c r="Y74" s="608">
        <v>2.3361700000000001</v>
      </c>
      <c r="AA74" s="796"/>
      <c r="AB74" s="589"/>
      <c r="AC74" s="589"/>
      <c r="AD74" s="589"/>
      <c r="AE74" s="589"/>
      <c r="AF74" s="590"/>
    </row>
    <row r="75" spans="1:32" ht="14.25" customHeight="1">
      <c r="B75" s="801"/>
      <c r="C75" s="2098"/>
      <c r="D75" s="607"/>
      <c r="E75" s="658"/>
      <c r="F75" s="1939"/>
      <c r="G75" s="801"/>
      <c r="H75" s="607"/>
      <c r="I75" s="658"/>
      <c r="J75" s="1939"/>
      <c r="K75" s="801"/>
      <c r="L75" s="607"/>
      <c r="M75" s="658"/>
      <c r="O75" s="796"/>
      <c r="P75" s="589"/>
      <c r="Q75" s="589"/>
      <c r="R75" s="589"/>
      <c r="S75" s="589"/>
      <c r="T75" s="592"/>
      <c r="V75" s="2104">
        <v>50095</v>
      </c>
      <c r="W75" s="626">
        <v>2.3029999999999999</v>
      </c>
      <c r="X75" s="626">
        <v>2.3029999999999999</v>
      </c>
      <c r="Y75" s="608">
        <v>2.3648899999999999</v>
      </c>
      <c r="AA75" s="796"/>
      <c r="AB75" s="589"/>
      <c r="AC75" s="589"/>
      <c r="AD75" s="589"/>
      <c r="AE75" s="589"/>
      <c r="AF75" s="590"/>
    </row>
    <row r="76" spans="1:32" ht="14.25" customHeight="1">
      <c r="B76" s="801"/>
      <c r="C76" s="2098"/>
      <c r="D76" s="607"/>
      <c r="E76" s="658"/>
      <c r="F76" s="1939"/>
      <c r="G76" s="801"/>
      <c r="H76" s="607"/>
      <c r="I76" s="658"/>
      <c r="J76" s="1939"/>
      <c r="K76" s="801"/>
      <c r="L76" s="607"/>
      <c r="M76" s="658"/>
      <c r="O76" s="796"/>
      <c r="P76" s="589"/>
      <c r="Q76" s="589"/>
      <c r="R76" s="589"/>
      <c r="S76" s="589"/>
      <c r="T76" s="592"/>
      <c r="V76" s="2104">
        <v>53748</v>
      </c>
      <c r="W76" s="626">
        <v>2.19</v>
      </c>
      <c r="X76" s="626">
        <v>2.16594</v>
      </c>
      <c r="Y76" s="608">
        <v>2.2102400000000002</v>
      </c>
      <c r="AA76" s="796"/>
      <c r="AB76" s="589"/>
      <c r="AC76" s="589"/>
      <c r="AD76" s="589"/>
      <c r="AE76" s="589"/>
      <c r="AF76" s="590"/>
    </row>
    <row r="77" spans="1:32" ht="14.25" customHeight="1">
      <c r="B77" s="801"/>
      <c r="C77" s="2098"/>
      <c r="D77" s="607"/>
      <c r="E77" s="658"/>
      <c r="F77" s="1939"/>
      <c r="G77" s="801"/>
      <c r="H77" s="607"/>
      <c r="I77" s="658"/>
      <c r="J77" s="1939"/>
      <c r="K77" s="801"/>
      <c r="L77" s="607"/>
      <c r="M77" s="658"/>
      <c r="O77" s="796"/>
      <c r="P77" s="589"/>
      <c r="Q77" s="589"/>
      <c r="R77" s="589"/>
      <c r="S77" s="589"/>
      <c r="T77" s="592"/>
      <c r="V77" s="2104"/>
      <c r="W77" s="607"/>
      <c r="X77" s="607"/>
      <c r="Y77" s="658"/>
      <c r="AA77" s="796"/>
      <c r="AB77" s="589"/>
      <c r="AC77" s="589"/>
      <c r="AD77" s="589"/>
      <c r="AE77" s="589"/>
      <c r="AF77" s="590"/>
    </row>
    <row r="78" spans="1:32" ht="14.25" customHeight="1">
      <c r="B78" s="801"/>
      <c r="C78" s="2098"/>
      <c r="D78" s="607"/>
      <c r="E78" s="658"/>
      <c r="F78" s="1939"/>
      <c r="G78" s="801"/>
      <c r="H78" s="607"/>
      <c r="I78" s="658"/>
      <c r="J78" s="1939"/>
      <c r="K78" s="801"/>
      <c r="L78" s="607"/>
      <c r="M78" s="658"/>
      <c r="O78" s="796"/>
      <c r="P78" s="589"/>
      <c r="Q78" s="589"/>
      <c r="R78" s="589"/>
      <c r="S78" s="589"/>
      <c r="T78" s="592"/>
      <c r="V78" s="2104"/>
      <c r="W78" s="607"/>
      <c r="X78" s="607"/>
      <c r="Y78" s="658"/>
      <c r="AA78" s="796"/>
      <c r="AB78" s="589"/>
      <c r="AC78" s="589"/>
      <c r="AD78" s="589"/>
      <c r="AE78" s="589"/>
      <c r="AF78" s="590"/>
    </row>
    <row r="79" spans="1:32" ht="14.25" customHeight="1">
      <c r="B79" s="801"/>
      <c r="C79" s="2098"/>
      <c r="D79" s="607"/>
      <c r="E79" s="658"/>
      <c r="F79" s="1939"/>
      <c r="G79" s="801"/>
      <c r="H79" s="607"/>
      <c r="I79" s="658"/>
      <c r="J79" s="1939"/>
      <c r="K79" s="801"/>
      <c r="L79" s="607"/>
      <c r="M79" s="658"/>
      <c r="O79" s="796"/>
      <c r="P79" s="589"/>
      <c r="Q79" s="589"/>
      <c r="R79" s="589"/>
      <c r="S79" s="589"/>
      <c r="T79" s="592"/>
      <c r="V79" s="2104"/>
      <c r="W79" s="607"/>
      <c r="X79" s="607"/>
      <c r="Y79" s="658"/>
      <c r="AA79" s="796"/>
      <c r="AB79" s="589"/>
      <c r="AC79" s="589"/>
      <c r="AD79" s="589"/>
      <c r="AE79" s="589"/>
      <c r="AF79" s="590"/>
    </row>
    <row r="80" spans="1:32" ht="14.25" customHeight="1">
      <c r="B80" s="801"/>
      <c r="C80" s="2098"/>
      <c r="D80" s="607"/>
      <c r="E80" s="658"/>
      <c r="F80" s="1939"/>
      <c r="G80" s="801"/>
      <c r="H80" s="607"/>
      <c r="I80" s="658"/>
      <c r="J80" s="1939"/>
      <c r="K80" s="801"/>
      <c r="L80" s="607"/>
      <c r="M80" s="658"/>
      <c r="O80" s="796"/>
      <c r="P80" s="589"/>
      <c r="Q80" s="589"/>
      <c r="R80" s="589"/>
      <c r="S80" s="589"/>
      <c r="T80" s="592"/>
      <c r="V80" s="2104"/>
      <c r="W80" s="607"/>
      <c r="X80" s="607"/>
      <c r="Y80" s="658"/>
      <c r="AA80" s="796"/>
      <c r="AB80" s="589"/>
      <c r="AC80" s="589"/>
      <c r="AD80" s="589"/>
      <c r="AE80" s="589"/>
      <c r="AF80" s="590"/>
    </row>
    <row r="81" spans="1:32" ht="14.25" customHeight="1">
      <c r="B81" s="801"/>
      <c r="C81" s="2098"/>
      <c r="D81" s="607"/>
      <c r="E81" s="658"/>
      <c r="F81" s="1939"/>
      <c r="G81" s="801"/>
      <c r="H81" s="607"/>
      <c r="I81" s="658"/>
      <c r="J81" s="1939"/>
      <c r="K81" s="801"/>
      <c r="L81" s="607"/>
      <c r="M81" s="658"/>
      <c r="O81" s="796"/>
      <c r="P81" s="589"/>
      <c r="Q81" s="589"/>
      <c r="R81" s="589"/>
      <c r="S81" s="589"/>
      <c r="T81" s="592"/>
      <c r="V81" s="837"/>
      <c r="W81" s="607"/>
      <c r="X81" s="607"/>
      <c r="Y81" s="658"/>
      <c r="AA81" s="796"/>
      <c r="AB81" s="589"/>
      <c r="AC81" s="589"/>
      <c r="AD81" s="589"/>
      <c r="AE81" s="589"/>
      <c r="AF81" s="590"/>
    </row>
    <row r="82" spans="1:32" ht="14.25" customHeight="1">
      <c r="B82" s="801"/>
      <c r="C82" s="2098"/>
      <c r="D82" s="607"/>
      <c r="E82" s="658"/>
      <c r="F82" s="1939"/>
      <c r="G82" s="801"/>
      <c r="H82" s="607"/>
      <c r="I82" s="658"/>
      <c r="J82" s="1939"/>
      <c r="K82" s="801"/>
      <c r="L82" s="607"/>
      <c r="M82" s="658"/>
      <c r="O82" s="796"/>
      <c r="P82" s="589"/>
      <c r="Q82" s="589"/>
      <c r="R82" s="589"/>
      <c r="S82" s="589"/>
      <c r="T82" s="592"/>
      <c r="V82" s="837"/>
      <c r="W82" s="607"/>
      <c r="X82" s="607"/>
      <c r="Y82" s="658"/>
      <c r="AA82" s="796"/>
      <c r="AB82" s="589"/>
      <c r="AC82" s="589"/>
      <c r="AD82" s="589"/>
      <c r="AE82" s="589"/>
      <c r="AF82" s="590"/>
    </row>
    <row r="83" spans="1:32" ht="14.25" customHeight="1">
      <c r="B83" s="801"/>
      <c r="C83" s="2098"/>
      <c r="D83" s="607"/>
      <c r="E83" s="658"/>
      <c r="F83" s="1939"/>
      <c r="G83" s="801"/>
      <c r="H83" s="607"/>
      <c r="I83" s="658"/>
      <c r="J83" s="1939"/>
      <c r="K83" s="801"/>
      <c r="L83" s="607"/>
      <c r="M83" s="658"/>
      <c r="O83" s="796"/>
      <c r="P83" s="589"/>
      <c r="Q83" s="589"/>
      <c r="R83" s="589"/>
      <c r="S83" s="589"/>
      <c r="T83" s="592"/>
      <c r="V83" s="801"/>
      <c r="W83" s="607"/>
      <c r="X83" s="607"/>
      <c r="Y83" s="658"/>
      <c r="AA83" s="796"/>
      <c r="AB83" s="589"/>
      <c r="AC83" s="589"/>
      <c r="AD83" s="589"/>
      <c r="AE83" s="589"/>
      <c r="AF83" s="590"/>
    </row>
    <row r="84" spans="1:32" ht="14.25" customHeight="1">
      <c r="B84" s="801"/>
      <c r="C84" s="2098"/>
      <c r="D84" s="607"/>
      <c r="E84" s="658"/>
      <c r="F84" s="1939"/>
      <c r="G84" s="801"/>
      <c r="H84" s="607"/>
      <c r="I84" s="658"/>
      <c r="J84" s="1939"/>
      <c r="K84" s="801"/>
      <c r="L84" s="607"/>
      <c r="M84" s="658"/>
      <c r="O84" s="796"/>
      <c r="P84" s="589"/>
      <c r="Q84" s="589"/>
      <c r="R84" s="589"/>
      <c r="S84" s="589"/>
      <c r="T84" s="592"/>
      <c r="V84" s="801"/>
      <c r="W84" s="607"/>
      <c r="X84" s="607"/>
      <c r="Y84" s="658"/>
      <c r="AA84" s="796"/>
      <c r="AB84" s="589"/>
      <c r="AC84" s="589"/>
      <c r="AD84" s="589"/>
      <c r="AE84" s="589"/>
      <c r="AF84" s="590"/>
    </row>
    <row r="85" spans="1:32" ht="14.25" customHeight="1">
      <c r="B85" s="801"/>
      <c r="C85" s="2098"/>
      <c r="D85" s="607"/>
      <c r="E85" s="658"/>
      <c r="F85" s="1939"/>
      <c r="G85" s="801"/>
      <c r="H85" s="607"/>
      <c r="I85" s="658"/>
      <c r="J85" s="1939"/>
      <c r="K85" s="801"/>
      <c r="L85" s="607"/>
      <c r="M85" s="658"/>
      <c r="O85" s="796"/>
      <c r="P85" s="589"/>
      <c r="Q85" s="589"/>
      <c r="R85" s="589"/>
      <c r="S85" s="589"/>
      <c r="T85" s="592"/>
      <c r="V85" s="801"/>
      <c r="W85" s="607"/>
      <c r="X85" s="607"/>
      <c r="Y85" s="658"/>
      <c r="AA85" s="796"/>
      <c r="AB85" s="589"/>
      <c r="AC85" s="589"/>
      <c r="AD85" s="589"/>
      <c r="AE85" s="589"/>
      <c r="AF85" s="590"/>
    </row>
    <row r="86" spans="1:32" ht="14.25" customHeight="1">
      <c r="B86" s="801"/>
      <c r="C86" s="2098"/>
      <c r="D86" s="607"/>
      <c r="E86" s="658"/>
      <c r="F86" s="1939"/>
      <c r="G86" s="801"/>
      <c r="H86" s="607"/>
      <c r="I86" s="658"/>
      <c r="J86" s="1939"/>
      <c r="K86" s="801"/>
      <c r="L86" s="607"/>
      <c r="M86" s="658"/>
      <c r="O86" s="796"/>
      <c r="P86" s="589"/>
      <c r="Q86" s="589"/>
      <c r="R86" s="589"/>
      <c r="S86" s="589"/>
      <c r="T86" s="592"/>
      <c r="V86" s="801"/>
      <c r="W86" s="607"/>
      <c r="X86" s="607"/>
      <c r="Y86" s="658"/>
      <c r="AA86" s="796"/>
      <c r="AB86" s="589"/>
      <c r="AC86" s="589"/>
      <c r="AD86" s="589"/>
      <c r="AE86" s="589"/>
      <c r="AF86" s="590"/>
    </row>
    <row r="87" spans="1:32" ht="14.25" customHeight="1">
      <c r="B87" s="801"/>
      <c r="C87" s="2098"/>
      <c r="D87" s="607"/>
      <c r="E87" s="658"/>
      <c r="F87" s="1939"/>
      <c r="G87" s="801"/>
      <c r="H87" s="607"/>
      <c r="I87" s="658"/>
      <c r="J87" s="1939"/>
      <c r="K87" s="801"/>
      <c r="L87" s="607"/>
      <c r="M87" s="658"/>
      <c r="O87" s="796"/>
      <c r="P87" s="589"/>
      <c r="Q87" s="589"/>
      <c r="R87" s="589"/>
      <c r="S87" s="589"/>
      <c r="T87" s="592"/>
      <c r="V87" s="801"/>
      <c r="W87" s="607"/>
      <c r="X87" s="607"/>
      <c r="Y87" s="658"/>
      <c r="AA87" s="796"/>
      <c r="AB87" s="589"/>
      <c r="AC87" s="589"/>
      <c r="AD87" s="589"/>
      <c r="AE87" s="589"/>
      <c r="AF87" s="590"/>
    </row>
    <row r="88" spans="1:32" ht="14.25" customHeight="1">
      <c r="B88" s="801"/>
      <c r="C88" s="2098"/>
      <c r="D88" s="607"/>
      <c r="E88" s="658"/>
      <c r="F88" s="1939"/>
      <c r="G88" s="801"/>
      <c r="H88" s="607"/>
      <c r="I88" s="658"/>
      <c r="J88" s="1939"/>
      <c r="K88" s="801"/>
      <c r="L88" s="607"/>
      <c r="M88" s="658"/>
      <c r="O88" s="796"/>
      <c r="P88" s="589"/>
      <c r="Q88" s="589"/>
      <c r="R88" s="589"/>
      <c r="S88" s="589"/>
      <c r="T88" s="592"/>
      <c r="V88" s="801"/>
      <c r="W88" s="607"/>
      <c r="X88" s="607"/>
      <c r="Y88" s="658"/>
      <c r="AA88" s="796"/>
      <c r="AB88" s="589"/>
      <c r="AC88" s="589"/>
      <c r="AD88" s="589"/>
      <c r="AE88" s="589"/>
      <c r="AF88" s="590"/>
    </row>
    <row r="89" spans="1:32" ht="14.25" customHeight="1">
      <c r="B89" s="1859"/>
      <c r="C89" s="2100"/>
      <c r="D89" s="719"/>
      <c r="E89" s="725"/>
      <c r="F89" s="1939"/>
      <c r="G89" s="1859"/>
      <c r="H89" s="719"/>
      <c r="I89" s="725"/>
      <c r="J89" s="1939"/>
      <c r="K89" s="1859"/>
      <c r="L89" s="719"/>
      <c r="M89" s="725"/>
      <c r="O89" s="594"/>
      <c r="P89" s="699"/>
      <c r="Q89" s="699"/>
      <c r="R89" s="699"/>
      <c r="S89" s="699"/>
      <c r="T89" s="613"/>
      <c r="V89" s="1859"/>
      <c r="W89" s="719"/>
      <c r="X89" s="719"/>
      <c r="Y89" s="725"/>
      <c r="AA89" s="594"/>
      <c r="AB89" s="699"/>
      <c r="AC89" s="699"/>
      <c r="AD89" s="699"/>
      <c r="AE89" s="699"/>
      <c r="AF89" s="700"/>
    </row>
    <row r="90" spans="1:32" ht="14.25" customHeight="1">
      <c r="A90" s="1867"/>
      <c r="B90" s="1867"/>
      <c r="C90" s="1861"/>
      <c r="G90" s="1117"/>
    </row>
    <row r="91" spans="1:32" ht="14.25" customHeight="1">
      <c r="A91" s="1269"/>
      <c r="B91" s="1269"/>
      <c r="C91" s="1861"/>
    </row>
    <row r="92" spans="1:32" ht="14.25" customHeight="1">
      <c r="A92" s="1269"/>
      <c r="B92" s="1269"/>
    </row>
    <row r="93" spans="1:32" ht="14.25" customHeight="1">
      <c r="A93" s="1269"/>
      <c r="B93" s="1269"/>
    </row>
    <row r="94" spans="1:32" ht="14.25" customHeight="1">
      <c r="A94" s="1269"/>
      <c r="B94" s="1269"/>
    </row>
    <row r="118" spans="2:2" ht="14.25" customHeight="1">
      <c r="B118" s="1117"/>
    </row>
  </sheetData>
  <mergeCells count="1">
    <mergeCell ref="H30:I30"/>
  </mergeCells>
  <dataValidations disablePrompts="1" count="1">
    <dataValidation type="list" allowBlank="1" showInputMessage="1" showErrorMessage="1" sqref="L35">
      <formula1>"Bid,Ask"</formula1>
    </dataValidation>
  </dataValidation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FFFFCC"/>
  </sheetPr>
  <dimension ref="A4:T78"/>
  <sheetViews>
    <sheetView zoomScale="90" zoomScaleNormal="90" workbookViewId="0"/>
  </sheetViews>
  <sheetFormatPr baseColWidth="10" defaultColWidth="9.140625" defaultRowHeight="14.25" customHeight="1"/>
  <cols>
    <col min="1" max="1" width="3.7109375" style="1867" customWidth="1"/>
    <col min="2" max="2" width="30.140625" style="1867" customWidth="1"/>
    <col min="3" max="3" width="6.28515625" style="1867" customWidth="1"/>
    <col min="4" max="4" width="8.28515625" style="1949" customWidth="1"/>
    <col min="5" max="5" width="12.5703125" style="1867" customWidth="1"/>
    <col min="6" max="6" width="6.28515625" style="1867" customWidth="1"/>
    <col min="7" max="7" width="13.7109375" style="1867" customWidth="1"/>
    <col min="8" max="8" width="8" style="1867" customWidth="1"/>
    <col min="9" max="9" width="18.28515625" style="1867" customWidth="1"/>
    <col min="10" max="10" width="8.85546875" style="1867" bestFit="1" customWidth="1"/>
    <col min="11" max="11" width="21.85546875" style="1867" customWidth="1"/>
    <col min="12" max="12" width="13" style="1867" customWidth="1"/>
    <col min="13" max="13" width="14.140625" style="1867" customWidth="1"/>
    <col min="14" max="14" width="11.85546875" style="1867" customWidth="1"/>
    <col min="15" max="15" width="16" style="1867" customWidth="1"/>
    <col min="16" max="16" width="10.85546875" style="1867" customWidth="1"/>
    <col min="17" max="17" width="11.140625" style="1867" customWidth="1"/>
    <col min="18" max="18" width="18.140625" style="1867" customWidth="1"/>
    <col min="19" max="19" width="18.85546875" style="1867" customWidth="1"/>
    <col min="20" max="16384" width="9.140625" style="1867"/>
  </cols>
  <sheetData>
    <row r="4" spans="2:18" ht="18" customHeight="1"/>
    <row r="5" spans="2:18" ht="23.25" customHeight="1">
      <c r="B5" s="1184" t="s">
        <v>1167</v>
      </c>
    </row>
    <row r="6" spans="2:18" ht="21">
      <c r="B6" s="1950" t="s">
        <v>1668</v>
      </c>
    </row>
    <row r="8" spans="2:18" ht="14.25" customHeight="1">
      <c r="B8" s="1959" t="s">
        <v>1120</v>
      </c>
      <c r="C8" s="1867" t="s">
        <v>1168</v>
      </c>
      <c r="I8" s="1951" t="s">
        <v>422</v>
      </c>
      <c r="J8" s="1951" t="s">
        <v>614</v>
      </c>
      <c r="K8" s="1952" t="s">
        <v>1169</v>
      </c>
      <c r="L8" s="1951" t="s">
        <v>1170</v>
      </c>
      <c r="M8" s="1953"/>
      <c r="N8" s="1954"/>
      <c r="O8" s="1954"/>
      <c r="P8" s="1954"/>
    </row>
    <row r="9" spans="2:18" ht="14.25" customHeight="1">
      <c r="B9" s="1938"/>
      <c r="H9" s="1955"/>
      <c r="I9" s="1956" t="s">
        <v>1176</v>
      </c>
      <c r="J9" s="1956" t="s">
        <v>1178</v>
      </c>
      <c r="L9" s="1957" t="s">
        <v>1177</v>
      </c>
    </row>
    <row r="10" spans="2:18" ht="14.25" customHeight="1">
      <c r="B10" s="1959" t="str">
        <f>_xll.BCurveStrip(B8)</f>
        <v>EUR.3M:BLOOMBERG DC 359428</v>
      </c>
      <c r="C10" s="1016" t="s">
        <v>1238</v>
      </c>
      <c r="D10" s="1017"/>
      <c r="E10" s="666"/>
      <c r="F10" s="666"/>
      <c r="G10" s="667"/>
      <c r="I10" s="1573" t="e">
        <f ca="1">_xll.BToday()</f>
        <v>#NAME?</v>
      </c>
      <c r="J10" s="1566" t="s">
        <v>613</v>
      </c>
      <c r="K10" s="1566">
        <v>2</v>
      </c>
      <c r="L10" s="1018" t="e">
        <f ca="1">_xll.BADDPERIODS(I10,J10,"numberofperiods="&amp;K10)</f>
        <v>#NAME?</v>
      </c>
    </row>
    <row r="11" spans="2:18" ht="14.25" customHeight="1">
      <c r="B11" s="644"/>
      <c r="C11" s="645"/>
      <c r="D11" s="646"/>
      <c r="E11" s="645"/>
      <c r="F11" s="645"/>
      <c r="G11" s="633"/>
      <c r="I11" s="1951"/>
      <c r="J11" s="1951"/>
      <c r="K11" s="1952"/>
      <c r="L11" s="1951"/>
      <c r="R11" s="2120"/>
    </row>
    <row r="12" spans="2:18" ht="14.25" customHeight="1">
      <c r="B12" s="1019" t="s">
        <v>1408</v>
      </c>
      <c r="C12" s="645"/>
      <c r="D12" s="1020"/>
      <c r="E12" s="1021" t="s">
        <v>1241</v>
      </c>
      <c r="F12" s="645"/>
      <c r="G12" s="633"/>
      <c r="I12" s="665" t="s">
        <v>1661</v>
      </c>
      <c r="J12" s="628"/>
      <c r="K12" s="628"/>
      <c r="L12" s="629"/>
      <c r="M12" s="629"/>
      <c r="N12" s="630"/>
      <c r="O12" s="628"/>
      <c r="P12" s="667"/>
    </row>
    <row r="13" spans="2:18" ht="14.25" customHeight="1">
      <c r="B13" s="2431" t="s">
        <v>1239</v>
      </c>
      <c r="C13" s="2432"/>
      <c r="D13" s="646"/>
      <c r="E13" s="2433" t="s">
        <v>1171</v>
      </c>
      <c r="F13" s="2433"/>
      <c r="G13" s="2434"/>
      <c r="I13" s="600"/>
      <c r="J13" s="1873" t="s">
        <v>426</v>
      </c>
      <c r="K13" s="1873" t="s">
        <v>470</v>
      </c>
      <c r="L13" s="1873" t="s">
        <v>1172</v>
      </c>
      <c r="M13" s="1873" t="s">
        <v>53</v>
      </c>
      <c r="N13" s="1873" t="s">
        <v>497</v>
      </c>
      <c r="O13" s="1873" t="s">
        <v>479</v>
      </c>
      <c r="P13" s="631" t="s">
        <v>426</v>
      </c>
    </row>
    <row r="14" spans="2:18" ht="14.25" customHeight="1">
      <c r="B14" s="727">
        <f>_xll.BView(B10,"maturity,par.mid","cols=2;rows=30")</f>
        <v>43483</v>
      </c>
      <c r="C14" s="625">
        <v>-0.318</v>
      </c>
      <c r="D14" s="651" t="e">
        <f t="shared" ref="D14:D43" ca="1" si="0">B14-$L$10</f>
        <v>#NAME?</v>
      </c>
      <c r="E14" s="728">
        <f>_xll.BView(B10,"maturity,zc.mid","cols=2;rows=30")</f>
        <v>43483</v>
      </c>
      <c r="F14" s="641">
        <v>-0.318</v>
      </c>
      <c r="G14" s="652" t="e">
        <f t="shared" ref="G14:G43" ca="1" si="1">E14-$L$10</f>
        <v>#NAME?</v>
      </c>
      <c r="I14" s="1566" t="s">
        <v>2008</v>
      </c>
      <c r="J14" s="625" t="e">
        <f ca="1">_xll.BDP($I14,J$13,$P$13,$P14)</f>
        <v>#NAME?</v>
      </c>
      <c r="K14" s="634" t="e">
        <f ca="1">_xll.BDP($I14,K$13,$P$13,$P14)</f>
        <v>#NAME?</v>
      </c>
      <c r="L14" s="635" t="e">
        <f ca="1">(K14-O14)*100</f>
        <v>#NAME?</v>
      </c>
      <c r="M14" s="1873" t="e">
        <f ca="1">_xll.BDP($I14,M$13)</f>
        <v>#NAME?</v>
      </c>
      <c r="N14" s="1873" t="e">
        <f ca="1">_xll.BDP($I14,N$13,$P$13,$P13)</f>
        <v>#NAME?</v>
      </c>
      <c r="O14" s="634" t="e">
        <f ca="1">_xll.BInterpol($D$14:$D$43,$C$14:$C$43,N14,"linear")</f>
        <v>#NAME?</v>
      </c>
      <c r="P14" s="1962">
        <v>109</v>
      </c>
    </row>
    <row r="15" spans="2:18" ht="14.25" customHeight="1">
      <c r="B15" s="727">
        <v>43516</v>
      </c>
      <c r="C15" s="625">
        <v>-0.32895999999999997</v>
      </c>
      <c r="D15" s="651" t="e">
        <f t="shared" ca="1" si="0"/>
        <v>#NAME?</v>
      </c>
      <c r="E15" s="728">
        <v>43516</v>
      </c>
      <c r="F15" s="641">
        <v>-0.32324999999999998</v>
      </c>
      <c r="G15" s="652" t="e">
        <f t="shared" ca="1" si="1"/>
        <v>#NAME?</v>
      </c>
      <c r="I15" s="1566" t="s">
        <v>1660</v>
      </c>
      <c r="J15" s="625" t="e">
        <f ca="1">_xll.BDP($I15,J$13,$P$13,$P15)</f>
        <v>#NAME?</v>
      </c>
      <c r="K15" s="634" t="e">
        <f ca="1">_xll.BDP($I15,K$13,$P$13,$P15)</f>
        <v>#NAME?</v>
      </c>
      <c r="L15" s="635" t="e">
        <f ca="1">(K15-O15)*100</f>
        <v>#NAME?</v>
      </c>
      <c r="M15" s="1873" t="e">
        <f ca="1">_xll.BDP($I15,M$13)</f>
        <v>#NAME?</v>
      </c>
      <c r="N15" s="1873" t="e">
        <f ca="1">_xll.BDP($I15,N$13,$P$13,$P14)</f>
        <v>#NAME?</v>
      </c>
      <c r="O15" s="634" t="e">
        <f ca="1">_xll.BInterpol($D$14:$D$42,$C$14:$C$42,N15,"linear")</f>
        <v>#NAME?</v>
      </c>
      <c r="P15" s="1962">
        <v>99.5</v>
      </c>
    </row>
    <row r="16" spans="2:18" ht="14.25" customHeight="1">
      <c r="B16" s="727">
        <v>43544</v>
      </c>
      <c r="C16" s="625">
        <v>-0.32053999999999999</v>
      </c>
      <c r="D16" s="651" t="e">
        <f t="shared" ca="1" si="0"/>
        <v>#NAME?</v>
      </c>
      <c r="E16" s="728">
        <v>43544</v>
      </c>
      <c r="F16" s="641">
        <v>-0.31502999999999998</v>
      </c>
      <c r="G16" s="652" t="e">
        <f t="shared" ca="1" si="1"/>
        <v>#NAME?</v>
      </c>
      <c r="I16" s="644"/>
      <c r="J16" s="632"/>
      <c r="K16" s="632"/>
      <c r="L16" s="632"/>
      <c r="M16" s="632"/>
      <c r="N16" s="1873"/>
      <c r="O16" s="632"/>
      <c r="P16" s="633"/>
    </row>
    <row r="17" spans="2:16" ht="14.25" customHeight="1">
      <c r="B17" s="727">
        <v>43572</v>
      </c>
      <c r="C17" s="625">
        <v>-0.30925999999999998</v>
      </c>
      <c r="D17" s="651" t="e">
        <f t="shared" ca="1" si="0"/>
        <v>#NAME?</v>
      </c>
      <c r="E17" s="728">
        <v>43572</v>
      </c>
      <c r="F17" s="641">
        <v>-0.31217</v>
      </c>
      <c r="G17" s="652" t="e">
        <f t="shared" ca="1" si="1"/>
        <v>#NAME?</v>
      </c>
      <c r="I17" s="644" t="s">
        <v>1662</v>
      </c>
      <c r="J17" s="632"/>
      <c r="K17" s="632"/>
      <c r="L17" s="632"/>
      <c r="M17" s="632"/>
      <c r="N17" s="632"/>
      <c r="O17" s="632"/>
      <c r="P17" s="633"/>
    </row>
    <row r="18" spans="2:16" ht="14.25" customHeight="1">
      <c r="B18" s="727">
        <v>43600</v>
      </c>
      <c r="C18" s="625">
        <v>-0.31435999999999997</v>
      </c>
      <c r="D18" s="651" t="e">
        <f t="shared" ca="1" si="0"/>
        <v>#NAME?</v>
      </c>
      <c r="E18" s="728">
        <v>43600</v>
      </c>
      <c r="F18" s="641">
        <v>-0.31025999999999998</v>
      </c>
      <c r="G18" s="652" t="e">
        <f t="shared" ca="1" si="1"/>
        <v>#NAME?</v>
      </c>
      <c r="I18" s="600"/>
      <c r="J18" s="1873" t="s">
        <v>426</v>
      </c>
      <c r="K18" s="1873" t="s">
        <v>470</v>
      </c>
      <c r="L18" s="1873"/>
      <c r="M18" s="1873"/>
      <c r="N18" s="1873" t="s">
        <v>497</v>
      </c>
      <c r="O18" s="1873" t="s">
        <v>479</v>
      </c>
      <c r="P18" s="631" t="s">
        <v>498</v>
      </c>
    </row>
    <row r="19" spans="2:16" ht="14.25" customHeight="1">
      <c r="B19" s="727">
        <v>43635</v>
      </c>
      <c r="C19" s="625">
        <v>-0.30925999999999998</v>
      </c>
      <c r="D19" s="651" t="e">
        <f t="shared" ca="1" si="0"/>
        <v>#NAME?</v>
      </c>
      <c r="E19" s="728">
        <v>43635</v>
      </c>
      <c r="F19" s="641">
        <v>-0.30828</v>
      </c>
      <c r="G19" s="652" t="e">
        <f t="shared" ca="1" si="1"/>
        <v>#NAME?</v>
      </c>
      <c r="I19" s="1566" t="s">
        <v>1659</v>
      </c>
      <c r="J19" s="625" t="e">
        <f ca="1">_xll.BDP($I19,J$18,$K$18,$K19)</f>
        <v>#NAME?</v>
      </c>
      <c r="K19" s="634" t="e">
        <f ca="1">O19+(P19/100)</f>
        <v>#NAME?</v>
      </c>
      <c r="L19" s="1873"/>
      <c r="M19" s="1873"/>
      <c r="N19" s="1873" t="e">
        <f ca="1">_xll.BDP($I19,N$18)</f>
        <v>#NAME?</v>
      </c>
      <c r="O19" s="634" t="e">
        <f ca="1">_xll.BInterpol($D$14:$D$43,$C$14:$C$43,N19,"linear")</f>
        <v>#NAME?</v>
      </c>
      <c r="P19" s="1961">
        <v>23</v>
      </c>
    </row>
    <row r="20" spans="2:16" ht="14.25" customHeight="1">
      <c r="B20" s="727">
        <v>43663</v>
      </c>
      <c r="C20" s="625">
        <v>-0.29952000000000001</v>
      </c>
      <c r="D20" s="651" t="e">
        <f t="shared" ca="1" si="0"/>
        <v>#NAME?</v>
      </c>
      <c r="E20" s="728">
        <v>43663</v>
      </c>
      <c r="F20" s="641">
        <v>-0.30259000000000003</v>
      </c>
      <c r="G20" s="652" t="e">
        <f t="shared" ca="1" si="1"/>
        <v>#NAME?</v>
      </c>
      <c r="I20" s="1566" t="s">
        <v>1660</v>
      </c>
      <c r="J20" s="625" t="e">
        <f ca="1">_xll.BDP($I20,J$18,$K$18,$K20)</f>
        <v>#NAME?</v>
      </c>
      <c r="K20" s="634" t="e">
        <f ca="1">O20+(P20/100)</f>
        <v>#NAME?</v>
      </c>
      <c r="L20" s="1873"/>
      <c r="M20" s="1873"/>
      <c r="N20" s="1873" t="e">
        <f ca="1">_xll.BDP($I20,N$18)</f>
        <v>#NAME?</v>
      </c>
      <c r="O20" s="634" t="e">
        <f ca="1">_xll.BInterpol($D$14:$D$43,$C$14:$C$43,N20,"linear")</f>
        <v>#NAME?</v>
      </c>
      <c r="P20" s="1961">
        <v>87.1</v>
      </c>
    </row>
    <row r="21" spans="2:16" ht="14.25" customHeight="1">
      <c r="B21" s="727">
        <v>43726</v>
      </c>
      <c r="C21" s="625">
        <v>-0.29741000000000001</v>
      </c>
      <c r="D21" s="651" t="e">
        <f t="shared" ca="1" si="0"/>
        <v>#NAME?</v>
      </c>
      <c r="E21" s="728">
        <v>43726</v>
      </c>
      <c r="F21" s="641">
        <v>-0.29844999999999999</v>
      </c>
      <c r="G21" s="652" t="e">
        <f t="shared" ca="1" si="1"/>
        <v>#NAME?</v>
      </c>
      <c r="I21" s="644"/>
      <c r="J21" s="632"/>
      <c r="K21" s="632"/>
      <c r="L21" s="632"/>
      <c r="M21" s="632"/>
      <c r="N21" s="632"/>
      <c r="O21" s="632"/>
      <c r="P21" s="633"/>
    </row>
    <row r="22" spans="2:16" ht="14.25" customHeight="1">
      <c r="B22" s="727">
        <v>43817</v>
      </c>
      <c r="C22" s="625">
        <v>-0.27592</v>
      </c>
      <c r="D22" s="651" t="e">
        <f t="shared" ca="1" si="0"/>
        <v>#NAME?</v>
      </c>
      <c r="E22" s="728">
        <v>43817</v>
      </c>
      <c r="F22" s="641">
        <v>-0.27711999999999998</v>
      </c>
      <c r="G22" s="652" t="e">
        <f t="shared" ca="1" si="1"/>
        <v>#NAME?</v>
      </c>
      <c r="I22" s="644" t="s">
        <v>1663</v>
      </c>
      <c r="J22" s="632"/>
      <c r="K22" s="632"/>
      <c r="L22" s="632"/>
      <c r="M22" s="632"/>
      <c r="N22" s="632"/>
      <c r="O22" s="632"/>
      <c r="P22" s="633"/>
    </row>
    <row r="23" spans="2:16" ht="14.25" customHeight="1">
      <c r="B23" s="727">
        <v>43908</v>
      </c>
      <c r="C23" s="625">
        <v>-0.24542</v>
      </c>
      <c r="D23" s="651" t="e">
        <f t="shared" ca="1" si="0"/>
        <v>#NAME?</v>
      </c>
      <c r="E23" s="728">
        <v>43908</v>
      </c>
      <c r="F23" s="641">
        <v>-0.24657000000000001</v>
      </c>
      <c r="G23" s="652" t="e">
        <f t="shared" ca="1" si="1"/>
        <v>#NAME?</v>
      </c>
      <c r="I23" s="600"/>
      <c r="J23" s="1873" t="s">
        <v>426</v>
      </c>
      <c r="K23" s="1873" t="s">
        <v>470</v>
      </c>
      <c r="L23" s="1873" t="s">
        <v>496</v>
      </c>
      <c r="M23" s="1873"/>
      <c r="N23" s="1873" t="s">
        <v>497</v>
      </c>
      <c r="O23" s="1873" t="s">
        <v>479</v>
      </c>
      <c r="P23" s="631" t="s">
        <v>470</v>
      </c>
    </row>
    <row r="24" spans="2:16" ht="14.25" customHeight="1">
      <c r="B24" s="727">
        <v>43999</v>
      </c>
      <c r="C24" s="625">
        <v>-0.21004999999999999</v>
      </c>
      <c r="D24" s="651" t="e">
        <f t="shared" ca="1" si="0"/>
        <v>#NAME?</v>
      </c>
      <c r="E24" s="728">
        <v>43999</v>
      </c>
      <c r="F24" s="641">
        <v>-0.21131</v>
      </c>
      <c r="G24" s="652" t="e">
        <f t="shared" ca="1" si="1"/>
        <v>#NAME?</v>
      </c>
      <c r="I24" s="1566" t="s">
        <v>1659</v>
      </c>
      <c r="J24" s="625" t="e">
        <f ca="1">_xll.BDP($I24,J$23,$P$23,$P24)</f>
        <v>#NAME?</v>
      </c>
      <c r="K24" s="634" t="e">
        <f ca="1">_xll.BDP($I24,K$23,$P$23,$P24)</f>
        <v>#NAME?</v>
      </c>
      <c r="L24" s="635" t="e">
        <f ca="1">(P24-O24)*100</f>
        <v>#NAME?</v>
      </c>
      <c r="M24" s="635"/>
      <c r="N24" s="1873" t="e">
        <f ca="1">_xll.BDP($I24,N$13)</f>
        <v>#NAME?</v>
      </c>
      <c r="O24" s="634" t="e">
        <f ca="1">_xll.BInterpol($D$14:$D$43,$C$14:$C$43,N24,"linear")</f>
        <v>#NAME?</v>
      </c>
      <c r="P24" s="1960">
        <v>1.0831</v>
      </c>
    </row>
    <row r="25" spans="2:16" ht="14.25" customHeight="1">
      <c r="B25" s="727">
        <v>44090</v>
      </c>
      <c r="C25" s="625">
        <v>-0.17158999999999999</v>
      </c>
      <c r="D25" s="651" t="e">
        <f t="shared" ca="1" si="0"/>
        <v>#NAME?</v>
      </c>
      <c r="E25" s="728">
        <v>44090</v>
      </c>
      <c r="F25" s="641">
        <v>-0.17277999999999999</v>
      </c>
      <c r="G25" s="652" t="e">
        <f t="shared" ca="1" si="1"/>
        <v>#NAME?</v>
      </c>
      <c r="I25" s="1566" t="s">
        <v>1660</v>
      </c>
      <c r="J25" s="625" t="e">
        <f ca="1">_xll.BDP($I25,J$23,$P$23,$P25)</f>
        <v>#NAME?</v>
      </c>
      <c r="K25" s="634" t="e">
        <f ca="1">_xll.BDP($I25,K$23,$P$23,$P25)</f>
        <v>#NAME?</v>
      </c>
      <c r="L25" s="635" t="e">
        <f ca="1">(P25-O25)*100</f>
        <v>#NAME?</v>
      </c>
      <c r="M25" s="635"/>
      <c r="N25" s="1873" t="e">
        <f ca="1">_xll.BDP($I25,N$23)</f>
        <v>#NAME?</v>
      </c>
      <c r="O25" s="634" t="e">
        <f ca="1">_xll.BInterpol($D$14:$D$43,$C$14:$C$43,N25,"linear")</f>
        <v>#NAME?</v>
      </c>
      <c r="P25" s="1960">
        <v>2.33</v>
      </c>
    </row>
    <row r="26" spans="2:16" ht="14.25" customHeight="1">
      <c r="B26" s="727">
        <v>44181</v>
      </c>
      <c r="C26" s="625">
        <v>-0.13067999999999999</v>
      </c>
      <c r="D26" s="651" t="e">
        <f t="shared" ca="1" si="0"/>
        <v>#NAME?</v>
      </c>
      <c r="E26" s="728">
        <v>44181</v>
      </c>
      <c r="F26" s="641">
        <v>-0.13136999999999999</v>
      </c>
      <c r="G26" s="652" t="e">
        <f t="shared" ca="1" si="1"/>
        <v>#NAME?</v>
      </c>
      <c r="I26" s="673" t="s">
        <v>1217</v>
      </c>
      <c r="J26" s="648"/>
      <c r="K26" s="648"/>
      <c r="L26" s="648"/>
      <c r="M26" s="648"/>
      <c r="N26" s="648"/>
      <c r="O26" s="648"/>
      <c r="P26" s="650"/>
    </row>
    <row r="27" spans="2:16" ht="14.25" customHeight="1">
      <c r="B27" s="727">
        <v>44487</v>
      </c>
      <c r="C27" s="625">
        <v>1.7500000000000002E-2</v>
      </c>
      <c r="D27" s="651" t="e">
        <f t="shared" ca="1" si="0"/>
        <v>#NAME?</v>
      </c>
      <c r="E27" s="728">
        <v>44487</v>
      </c>
      <c r="F27" s="641">
        <v>1.7319999999999999E-2</v>
      </c>
      <c r="G27" s="652" t="e">
        <f t="shared" ca="1" si="1"/>
        <v>#NAME?</v>
      </c>
      <c r="I27" s="1955"/>
      <c r="J27" s="1955"/>
      <c r="K27" s="1955"/>
      <c r="L27" s="1955"/>
      <c r="M27" s="1955"/>
      <c r="N27" s="1955"/>
      <c r="O27" s="1955"/>
      <c r="P27" s="1955"/>
    </row>
    <row r="28" spans="2:16" ht="14.25" customHeight="1">
      <c r="B28" s="727">
        <v>44852</v>
      </c>
      <c r="C28" s="625">
        <v>0.19170000000000001</v>
      </c>
      <c r="D28" s="651" t="e">
        <f t="shared" ca="1" si="0"/>
        <v>#NAME?</v>
      </c>
      <c r="E28" s="728">
        <v>44852</v>
      </c>
      <c r="F28" s="641">
        <v>0.19216</v>
      </c>
      <c r="G28" s="652" t="e">
        <f t="shared" ca="1" si="1"/>
        <v>#NAME?</v>
      </c>
      <c r="I28" s="665" t="s">
        <v>1664</v>
      </c>
      <c r="J28" s="636"/>
      <c r="K28" s="636"/>
      <c r="L28" s="637"/>
      <c r="M28" s="637"/>
      <c r="N28" s="638"/>
      <c r="O28" s="636"/>
      <c r="P28" s="667"/>
    </row>
    <row r="29" spans="2:16" ht="14.25" customHeight="1">
      <c r="B29" s="727">
        <v>45217</v>
      </c>
      <c r="C29" s="625">
        <v>0.35149999999999998</v>
      </c>
      <c r="D29" s="651" t="e">
        <f t="shared" ca="1" si="0"/>
        <v>#NAME?</v>
      </c>
      <c r="E29" s="728">
        <v>45217</v>
      </c>
      <c r="F29" s="641">
        <v>0.35327999999999998</v>
      </c>
      <c r="G29" s="652" t="e">
        <f t="shared" ca="1" si="1"/>
        <v>#NAME?</v>
      </c>
      <c r="I29" s="600"/>
      <c r="J29" s="1874" t="s">
        <v>426</v>
      </c>
      <c r="K29" s="1874" t="s">
        <v>470</v>
      </c>
      <c r="L29" s="1874" t="s">
        <v>1172</v>
      </c>
      <c r="M29" s="1874"/>
      <c r="N29" s="1874" t="s">
        <v>497</v>
      </c>
      <c r="O29" s="1874" t="s">
        <v>479</v>
      </c>
      <c r="P29" s="639" t="s">
        <v>426</v>
      </c>
    </row>
    <row r="30" spans="2:16" ht="14.25" customHeight="1">
      <c r="B30" s="727">
        <v>45583</v>
      </c>
      <c r="C30" s="625">
        <v>0.4965</v>
      </c>
      <c r="D30" s="651" t="e">
        <f t="shared" ca="1" si="0"/>
        <v>#NAME?</v>
      </c>
      <c r="E30" s="728">
        <v>45583</v>
      </c>
      <c r="F30" s="641">
        <v>0.50029999999999997</v>
      </c>
      <c r="G30" s="652" t="e">
        <f t="shared" ca="1" si="1"/>
        <v>#NAME?</v>
      </c>
      <c r="H30" s="1955"/>
      <c r="I30" s="1566" t="s">
        <v>1658</v>
      </c>
      <c r="J30" s="641" t="e">
        <f ca="1">_xll.BDP($I30,J$29,$P$13,$P30)</f>
        <v>#NAME?</v>
      </c>
      <c r="K30" s="642" t="e">
        <f ca="1">_xll.BDP($I30,K$29,$P$29,$P30)</f>
        <v>#NAME?</v>
      </c>
      <c r="L30" s="643" t="e">
        <f ca="1">(K30-O30)*100</f>
        <v>#NAME?</v>
      </c>
      <c r="M30" s="1874"/>
      <c r="N30" s="1874" t="e">
        <f ca="1">_xll.BDP($I30,N$29)</f>
        <v>#NAME?</v>
      </c>
      <c r="O30" s="642" t="e">
        <f ca="1">_xll.BInterpol($G$14:$G$43,$F$14:$F$43,N30,"linear")</f>
        <v>#NAME?</v>
      </c>
      <c r="P30" s="1962">
        <v>118.75</v>
      </c>
    </row>
    <row r="31" spans="2:16" ht="14.25" customHeight="1">
      <c r="B31" s="727">
        <v>45950</v>
      </c>
      <c r="C31" s="625">
        <v>0.63224999999999998</v>
      </c>
      <c r="D31" s="651" t="e">
        <f t="shared" ca="1" si="0"/>
        <v>#NAME?</v>
      </c>
      <c r="E31" s="728">
        <v>45950</v>
      </c>
      <c r="F31" s="641">
        <v>0.63878999999999997</v>
      </c>
      <c r="G31" s="652" t="e">
        <f t="shared" ca="1" si="1"/>
        <v>#NAME?</v>
      </c>
      <c r="I31" s="1566" t="s">
        <v>1657</v>
      </c>
      <c r="J31" s="641" t="e">
        <f ca="1">_xll.BDP($I31,J$29,$P$13,$P31)</f>
        <v>#NAME?</v>
      </c>
      <c r="K31" s="642" t="e">
        <f ca="1">_xll.BDP($I31,K$29,$P$29,$P31)</f>
        <v>#NAME?</v>
      </c>
      <c r="L31" s="643" t="e">
        <f ca="1">(K31-O31)*100</f>
        <v>#NAME?</v>
      </c>
      <c r="M31" s="1874"/>
      <c r="N31" s="1874" t="e">
        <f ca="1">_xll.BDP($I31,N$29)</f>
        <v>#NAME?</v>
      </c>
      <c r="O31" s="642" t="e">
        <f ca="1">_xll.BInterpol($G$14:$G$43,$F$14:$F$43,N31,"linear")</f>
        <v>#NAME?</v>
      </c>
      <c r="P31" s="1962">
        <v>99.5</v>
      </c>
    </row>
    <row r="32" spans="2:16" ht="14.25" customHeight="1">
      <c r="B32" s="727">
        <v>46314</v>
      </c>
      <c r="C32" s="625">
        <v>0.75505</v>
      </c>
      <c r="D32" s="651" t="e">
        <f t="shared" ca="1" si="0"/>
        <v>#NAME?</v>
      </c>
      <c r="E32" s="728">
        <v>46314</v>
      </c>
      <c r="F32" s="641">
        <v>0.76504000000000005</v>
      </c>
      <c r="G32" s="652" t="e">
        <f t="shared" ca="1" si="1"/>
        <v>#NAME?</v>
      </c>
      <c r="I32" s="644"/>
      <c r="J32" s="640"/>
      <c r="K32" s="640"/>
      <c r="L32" s="640"/>
      <c r="M32" s="640"/>
      <c r="N32" s="640"/>
      <c r="O32" s="640"/>
      <c r="P32" s="633"/>
    </row>
    <row r="33" spans="2:19" ht="14.25" customHeight="1">
      <c r="B33" s="727">
        <v>46678</v>
      </c>
      <c r="C33" s="625">
        <v>0.86699999999999999</v>
      </c>
      <c r="D33" s="651" t="e">
        <f t="shared" ca="1" si="0"/>
        <v>#NAME?</v>
      </c>
      <c r="E33" s="728">
        <v>46678</v>
      </c>
      <c r="F33" s="641">
        <v>0.88107000000000002</v>
      </c>
      <c r="G33" s="652" t="e">
        <f t="shared" ca="1" si="1"/>
        <v>#NAME?</v>
      </c>
      <c r="I33" s="644" t="s">
        <v>1665</v>
      </c>
      <c r="J33" s="640"/>
      <c r="K33" s="640"/>
      <c r="L33" s="640"/>
      <c r="M33" s="640"/>
      <c r="N33" s="640"/>
      <c r="O33" s="640"/>
      <c r="P33" s="633"/>
    </row>
    <row r="34" spans="2:19" ht="14.25" customHeight="1">
      <c r="B34" s="727">
        <v>47044</v>
      </c>
      <c r="C34" s="625">
        <v>0.97099999999999997</v>
      </c>
      <c r="D34" s="651" t="e">
        <f t="shared" ca="1" si="0"/>
        <v>#NAME?</v>
      </c>
      <c r="E34" s="728">
        <v>47044</v>
      </c>
      <c r="F34" s="641">
        <v>0.98970999999999998</v>
      </c>
      <c r="G34" s="652" t="e">
        <f t="shared" ca="1" si="1"/>
        <v>#NAME?</v>
      </c>
      <c r="I34" s="600"/>
      <c r="J34" s="1874" t="s">
        <v>426</v>
      </c>
      <c r="K34" s="1874" t="s">
        <v>470</v>
      </c>
      <c r="L34" s="1874"/>
      <c r="M34" s="1874"/>
      <c r="N34" s="1874" t="s">
        <v>497</v>
      </c>
      <c r="O34" s="1874" t="s">
        <v>479</v>
      </c>
      <c r="P34" s="639" t="s">
        <v>498</v>
      </c>
    </row>
    <row r="35" spans="2:19" ht="14.25" customHeight="1">
      <c r="B35" s="727">
        <v>47409</v>
      </c>
      <c r="C35" s="625">
        <v>1.0569999999999999</v>
      </c>
      <c r="D35" s="651" t="e">
        <f t="shared" ca="1" si="0"/>
        <v>#NAME?</v>
      </c>
      <c r="E35" s="728">
        <v>47409</v>
      </c>
      <c r="F35" s="641">
        <v>1.0801000000000001</v>
      </c>
      <c r="G35" s="652" t="e">
        <f t="shared" ca="1" si="1"/>
        <v>#NAME?</v>
      </c>
      <c r="I35" s="1566" t="s">
        <v>1658</v>
      </c>
      <c r="J35" s="641" t="e">
        <f ca="1">_xll.BDP($I35,J$34,$K$34,$K35)</f>
        <v>#NAME?</v>
      </c>
      <c r="K35" s="642" t="e">
        <f ca="1">O35+(P35/100)</f>
        <v>#NAME?</v>
      </c>
      <c r="L35" s="1874"/>
      <c r="M35" s="1874"/>
      <c r="N35" s="1874" t="e">
        <f ca="1">_xll.BDP($I35,N$34)</f>
        <v>#NAME?</v>
      </c>
      <c r="O35" s="642" t="e">
        <f ca="1">_xll.BInterpol($G$14:$G$43,$F$14:$F$43,N35,"linear")</f>
        <v>#NAME?</v>
      </c>
      <c r="P35" s="1961">
        <v>23</v>
      </c>
    </row>
    <row r="36" spans="2:19" ht="14.25" customHeight="1">
      <c r="B36" s="727">
        <v>47774</v>
      </c>
      <c r="C36" s="625">
        <v>1.137</v>
      </c>
      <c r="D36" s="651" t="e">
        <f t="shared" ca="1" si="0"/>
        <v>#NAME?</v>
      </c>
      <c r="E36" s="728">
        <v>47774</v>
      </c>
      <c r="F36" s="641">
        <v>1.1649499999999999</v>
      </c>
      <c r="G36" s="652" t="e">
        <f t="shared" ca="1" si="1"/>
        <v>#NAME?</v>
      </c>
      <c r="I36" s="1566" t="s">
        <v>1657</v>
      </c>
      <c r="J36" s="641" t="e">
        <f ca="1">_xll.BDP($I36,J$34,$K$34,$K36)</f>
        <v>#NAME?</v>
      </c>
      <c r="K36" s="642" t="e">
        <f ca="1">O36+(P36/100)</f>
        <v>#NAME?</v>
      </c>
      <c r="L36" s="1874"/>
      <c r="M36" s="1874"/>
      <c r="N36" s="1874" t="e">
        <f ca="1">_xll.BDP($I36,N$34)</f>
        <v>#NAME?</v>
      </c>
      <c r="O36" s="642" t="e">
        <f ca="1">_xll.BInterpol($G$14:$G$43,$F$14:$F$43,N36,"linear")</f>
        <v>#NAME?</v>
      </c>
      <c r="P36" s="1961">
        <v>87.1</v>
      </c>
    </row>
    <row r="37" spans="2:19" ht="14.25" customHeight="1">
      <c r="B37" s="727">
        <v>48870</v>
      </c>
      <c r="C37" s="625">
        <v>1.3174999999999999</v>
      </c>
      <c r="D37" s="651" t="e">
        <f t="shared" ca="1" si="0"/>
        <v>#NAME?</v>
      </c>
      <c r="E37" s="728">
        <v>48870</v>
      </c>
      <c r="F37" s="641">
        <v>1.3585</v>
      </c>
      <c r="G37" s="652" t="e">
        <f t="shared" ca="1" si="1"/>
        <v>#NAME?</v>
      </c>
      <c r="I37" s="644"/>
      <c r="J37" s="640"/>
      <c r="K37" s="640"/>
      <c r="L37" s="640"/>
      <c r="M37" s="640"/>
      <c r="N37" s="640"/>
      <c r="O37" s="640"/>
      <c r="P37" s="633"/>
    </row>
    <row r="38" spans="2:19" ht="14.25" customHeight="1">
      <c r="B38" s="727">
        <v>50696</v>
      </c>
      <c r="C38" s="625">
        <v>1.4776</v>
      </c>
      <c r="D38" s="651" t="e">
        <f t="shared" ca="1" si="0"/>
        <v>#NAME?</v>
      </c>
      <c r="E38" s="728">
        <v>50696</v>
      </c>
      <c r="F38" s="641">
        <v>1.53173</v>
      </c>
      <c r="G38" s="652" t="e">
        <f t="shared" ca="1" si="1"/>
        <v>#NAME?</v>
      </c>
      <c r="I38" s="644" t="s">
        <v>1666</v>
      </c>
      <c r="J38" s="640"/>
      <c r="K38" s="640"/>
      <c r="L38" s="640"/>
      <c r="M38" s="640"/>
      <c r="N38" s="640"/>
      <c r="O38" s="640"/>
      <c r="P38" s="633"/>
    </row>
    <row r="39" spans="2:19" ht="14.25" customHeight="1">
      <c r="B39" s="727">
        <v>52523</v>
      </c>
      <c r="C39" s="625">
        <v>1.52861</v>
      </c>
      <c r="D39" s="651" t="e">
        <f t="shared" ca="1" si="0"/>
        <v>#NAME?</v>
      </c>
      <c r="E39" s="728">
        <v>52523</v>
      </c>
      <c r="F39" s="641">
        <v>1.5823799999999999</v>
      </c>
      <c r="G39" s="652" t="e">
        <f t="shared" ca="1" si="1"/>
        <v>#NAME?</v>
      </c>
      <c r="I39" s="600"/>
      <c r="J39" s="1874" t="s">
        <v>426</v>
      </c>
      <c r="K39" s="1874" t="s">
        <v>470</v>
      </c>
      <c r="L39" s="1874" t="s">
        <v>496</v>
      </c>
      <c r="M39" s="1874"/>
      <c r="N39" s="1874" t="s">
        <v>497</v>
      </c>
      <c r="O39" s="1874" t="s">
        <v>479</v>
      </c>
      <c r="P39" s="639" t="s">
        <v>470</v>
      </c>
    </row>
    <row r="40" spans="2:19" ht="14.25" customHeight="1">
      <c r="B40" s="727">
        <v>54350</v>
      </c>
      <c r="C40" s="625">
        <v>1.5398099999999999</v>
      </c>
      <c r="D40" s="651" t="e">
        <f t="shared" ca="1" si="0"/>
        <v>#NAME?</v>
      </c>
      <c r="E40" s="728">
        <v>54350</v>
      </c>
      <c r="F40" s="641">
        <v>1.5875300000000001</v>
      </c>
      <c r="G40" s="652" t="e">
        <f t="shared" ca="1" si="1"/>
        <v>#NAME?</v>
      </c>
      <c r="I40" s="1566" t="s">
        <v>1658</v>
      </c>
      <c r="J40" s="641" t="e">
        <f ca="1">_xll.BDP($I40,J$39,$P$23,$P40)</f>
        <v>#NAME?</v>
      </c>
      <c r="K40" s="642" t="e">
        <f ca="1">_xll.BDP($I40,K$39,$P$23,$P40)</f>
        <v>#NAME?</v>
      </c>
      <c r="L40" s="643" t="e">
        <f ca="1">(P40-O40)*100</f>
        <v>#NAME?</v>
      </c>
      <c r="M40" s="643"/>
      <c r="N40" s="1874" t="e">
        <f ca="1">_xll.BDP($I40,N$39)</f>
        <v>#NAME?</v>
      </c>
      <c r="O40" s="642" t="e">
        <f ca="1">_xll.BInterpol($G$14:$G$43,$F$14:$F$43,N40,"linear")</f>
        <v>#NAME?</v>
      </c>
      <c r="P40" s="1960">
        <v>1.0831</v>
      </c>
    </row>
    <row r="41" spans="2:19" ht="14.25" customHeight="1">
      <c r="B41" s="727">
        <v>56177</v>
      </c>
      <c r="C41" s="625">
        <v>1.5398099999999999</v>
      </c>
      <c r="D41" s="651" t="e">
        <f t="shared" ca="1" si="0"/>
        <v>#NAME?</v>
      </c>
      <c r="E41" s="728">
        <v>56177</v>
      </c>
      <c r="F41" s="641">
        <v>1.5807</v>
      </c>
      <c r="G41" s="652" t="e">
        <f t="shared" ca="1" si="1"/>
        <v>#NAME?</v>
      </c>
      <c r="I41" s="1566" t="s">
        <v>1657</v>
      </c>
      <c r="J41" s="674" t="e">
        <f ca="1">_xll.BDP($I41,J$39,$P$23,$P41)</f>
        <v>#NAME?</v>
      </c>
      <c r="K41" s="642" t="e">
        <f ca="1">_xll.BDP($I41,K$39,$P$23,$P41)</f>
        <v>#NAME?</v>
      </c>
      <c r="L41" s="643" t="e">
        <f ca="1">(P41-O41)*100</f>
        <v>#NAME?</v>
      </c>
      <c r="M41" s="643"/>
      <c r="N41" s="1874" t="e">
        <f ca="1">_xll.BDP($I41,N$39)</f>
        <v>#NAME?</v>
      </c>
      <c r="O41" s="642" t="e">
        <f ca="1">_xll.BInterpol($G$14:$G$43,$F$14:$F$43,N41,"linear")</f>
        <v>#NAME?</v>
      </c>
      <c r="P41" s="1960">
        <v>2.33</v>
      </c>
    </row>
    <row r="42" spans="2:19" ht="14.25" customHeight="1">
      <c r="B42" s="727">
        <v>58001</v>
      </c>
      <c r="C42" s="625">
        <v>1.5385</v>
      </c>
      <c r="D42" s="651" t="e">
        <f t="shared" ca="1" si="0"/>
        <v>#NAME?</v>
      </c>
      <c r="E42" s="728">
        <v>58001</v>
      </c>
      <c r="F42" s="641">
        <v>1.5739000000000001</v>
      </c>
      <c r="G42" s="652" t="e">
        <f t="shared" ca="1" si="1"/>
        <v>#NAME?</v>
      </c>
      <c r="I42" s="673" t="s">
        <v>1218</v>
      </c>
      <c r="J42" s="648"/>
      <c r="K42" s="648"/>
      <c r="L42" s="648"/>
      <c r="M42" s="648"/>
      <c r="N42" s="648"/>
      <c r="O42" s="648"/>
      <c r="P42" s="650"/>
    </row>
    <row r="43" spans="2:19" ht="14.25" customHeight="1">
      <c r="B43" s="727">
        <v>61654</v>
      </c>
      <c r="C43" s="625">
        <v>1.5169999999999999</v>
      </c>
      <c r="D43" s="651" t="e">
        <f t="shared" ca="1" si="0"/>
        <v>#NAME?</v>
      </c>
      <c r="E43" s="728">
        <v>61654</v>
      </c>
      <c r="F43" s="641">
        <v>1.5367999999999999</v>
      </c>
      <c r="G43" s="652" t="e">
        <f t="shared" ca="1" si="1"/>
        <v>#NAME?</v>
      </c>
    </row>
    <row r="44" spans="2:19" ht="14.25" customHeight="1">
      <c r="B44" s="727"/>
      <c r="C44" s="625"/>
      <c r="D44" s="651"/>
      <c r="E44" s="728"/>
      <c r="F44" s="641"/>
      <c r="G44" s="652"/>
    </row>
    <row r="45" spans="2:19" ht="14.25" customHeight="1">
      <c r="B45" s="727"/>
      <c r="C45" s="625"/>
      <c r="D45" s="651"/>
      <c r="E45" s="728"/>
      <c r="F45" s="641"/>
      <c r="G45" s="652"/>
    </row>
    <row r="46" spans="2:19" ht="14.25" customHeight="1">
      <c r="B46" s="727"/>
      <c r="C46" s="625"/>
      <c r="D46" s="1873"/>
      <c r="E46" s="728"/>
      <c r="F46" s="641"/>
      <c r="G46" s="1875"/>
    </row>
    <row r="47" spans="2:19" ht="14.25" customHeight="1">
      <c r="B47" s="733"/>
      <c r="C47" s="690"/>
      <c r="D47" s="646"/>
      <c r="E47" s="729"/>
      <c r="F47" s="690"/>
      <c r="G47" s="633"/>
      <c r="I47" s="665"/>
      <c r="J47" s="666"/>
      <c r="K47" s="666"/>
      <c r="L47" s="666"/>
      <c r="M47" s="585" t="s">
        <v>1735</v>
      </c>
      <c r="N47" s="583"/>
      <c r="O47" s="583"/>
      <c r="P47" s="584"/>
      <c r="Q47" s="666"/>
      <c r="R47" s="666"/>
      <c r="S47" s="667"/>
    </row>
    <row r="48" spans="2:19" ht="14.25" customHeight="1">
      <c r="B48" s="733"/>
      <c r="C48" s="690"/>
      <c r="D48" s="646"/>
      <c r="E48" s="729"/>
      <c r="F48" s="690"/>
      <c r="G48" s="633"/>
      <c r="I48" s="644" t="s">
        <v>1202</v>
      </c>
      <c r="J48" s="645"/>
      <c r="K48" s="645"/>
      <c r="L48" s="645"/>
      <c r="M48" s="698" t="s">
        <v>1231</v>
      </c>
      <c r="N48" s="699"/>
      <c r="O48" s="699"/>
      <c r="P48" s="700"/>
      <c r="Q48" s="645"/>
      <c r="R48" s="645"/>
      <c r="S48" s="633"/>
    </row>
    <row r="49" spans="2:20" ht="14.25" customHeight="1">
      <c r="B49" s="733"/>
      <c r="C49" s="690"/>
      <c r="D49" s="646"/>
      <c r="E49" s="729"/>
      <c r="F49" s="690"/>
      <c r="G49" s="633"/>
      <c r="I49" s="644"/>
      <c r="J49" s="645"/>
      <c r="K49" s="645"/>
      <c r="L49" s="645"/>
      <c r="M49" s="645"/>
      <c r="N49" s="645"/>
      <c r="O49" s="645"/>
      <c r="P49" s="645"/>
      <c r="Q49" s="645"/>
      <c r="R49" s="645"/>
      <c r="S49" s="633"/>
      <c r="T49" s="2108"/>
    </row>
    <row r="50" spans="2:20" ht="14.25" customHeight="1">
      <c r="B50" s="733"/>
      <c r="C50" s="690"/>
      <c r="D50" s="646"/>
      <c r="E50" s="729"/>
      <c r="F50" s="690"/>
      <c r="G50" s="633"/>
      <c r="I50" s="644"/>
      <c r="J50" s="2437" t="str">
        <f>_xll.BCurveStrip("EUR.3M")</f>
        <v>EUR.3M:BLOOMBERG DC 922056</v>
      </c>
      <c r="K50" s="2438"/>
      <c r="L50" s="662"/>
      <c r="M50" s="1566" t="s">
        <v>494</v>
      </c>
      <c r="N50" s="1964" t="s">
        <v>1198</v>
      </c>
      <c r="O50" s="1566" t="s">
        <v>1199</v>
      </c>
      <c r="P50" s="645"/>
      <c r="Q50" s="645"/>
      <c r="R50" s="645"/>
      <c r="S50" s="633"/>
    </row>
    <row r="51" spans="2:20" ht="14.25" customHeight="1">
      <c r="B51" s="644"/>
      <c r="C51" s="645"/>
      <c r="D51" s="646"/>
      <c r="E51" s="645"/>
      <c r="F51" s="645"/>
      <c r="G51" s="633"/>
      <c r="J51" s="598" t="s">
        <v>1252</v>
      </c>
      <c r="K51" s="369"/>
      <c r="L51" s="1566" t="s">
        <v>1200</v>
      </c>
      <c r="M51" s="686">
        <f>_xll.BCurveInt($J$50,M$50,$L51)</f>
        <v>43483</v>
      </c>
      <c r="N51" s="687">
        <f>_xll.BCurveInt($J$50,N$50,$L51)</f>
        <v>-0.31800000000000667</v>
      </c>
      <c r="O51" s="687">
        <f>_xll.BCurveInt($J$50,O$50,$L51)</f>
        <v>1.0008133276309215</v>
      </c>
      <c r="P51" s="645"/>
      <c r="Q51" s="645"/>
      <c r="R51" s="645"/>
      <c r="S51" s="633"/>
    </row>
    <row r="52" spans="2:20" ht="14.25" customHeight="1">
      <c r="B52" s="644"/>
      <c r="C52" s="645"/>
      <c r="D52" s="646"/>
      <c r="E52" s="645"/>
      <c r="F52" s="645"/>
      <c r="G52" s="633"/>
      <c r="I52" s="644"/>
      <c r="J52" s="645"/>
      <c r="K52" s="369"/>
      <c r="L52" s="1566" t="s">
        <v>1201</v>
      </c>
      <c r="M52" s="688" t="str">
        <f>_xll.BCurveInt($J$50,M$50,$L52)</f>
        <v>#N/A IRDCTK: convert ctk term type to irue::unit errorBUSDAYS</v>
      </c>
      <c r="N52" s="687" t="str">
        <f>_xll.BCurveInt($J$50,N$50,$L52)</f>
        <v>#N/A IRDCTK: convert ctk term type to irue::unit errorBUSDAYS</v>
      </c>
      <c r="O52" s="687" t="str">
        <f>_xll.BCurveInt($J$50,O$50,$L52)</f>
        <v>#N/A IRDCTK: convert ctk term type to irue::unit errorBUSDAYS</v>
      </c>
      <c r="P52" s="645"/>
      <c r="Q52" s="645"/>
      <c r="R52" s="645"/>
      <c r="S52" s="633"/>
    </row>
    <row r="53" spans="2:20" ht="14.25" customHeight="1">
      <c r="B53" s="644"/>
      <c r="C53" s="645"/>
      <c r="D53" s="646"/>
      <c r="E53" s="645"/>
      <c r="F53" s="645"/>
      <c r="G53" s="633"/>
      <c r="I53" s="644"/>
      <c r="J53" s="645"/>
      <c r="K53" s="369"/>
      <c r="L53" s="1566" t="s">
        <v>1163</v>
      </c>
      <c r="M53" s="688">
        <f>_xll.BCurveInt($J$50,M$50,$L53)</f>
        <v>44852</v>
      </c>
      <c r="N53" s="687">
        <f>_xll.BCurveInt($J$50,N$50,$L53)</f>
        <v>0.19522590808787044</v>
      </c>
      <c r="O53" s="687">
        <f>_xll.BCurveInt($J$50,O$50,$L53)</f>
        <v>0.99222892852499778</v>
      </c>
      <c r="P53" s="645"/>
      <c r="Q53" s="645"/>
      <c r="R53" s="645"/>
      <c r="S53" s="633"/>
    </row>
    <row r="54" spans="2:20" ht="14.25" customHeight="1">
      <c r="B54" s="644"/>
      <c r="C54" s="645"/>
      <c r="D54" s="646"/>
      <c r="E54" s="645"/>
      <c r="F54" s="645"/>
      <c r="G54" s="633"/>
      <c r="I54" s="644"/>
      <c r="J54" s="645"/>
      <c r="K54" s="645"/>
      <c r="L54" s="1566">
        <v>20180210</v>
      </c>
      <c r="M54" s="688" t="str">
        <f>_xll.BCurveInt($J$50,M$50,$L54)</f>
        <v>#N/A Error:Invalid date range</v>
      </c>
      <c r="N54" s="687" t="str">
        <f>_xll.BCurveInt($J$50,N$50,$L54)</f>
        <v>#N/A Error:Invalid date range</v>
      </c>
      <c r="O54" s="687" t="str">
        <f>_xll.BCurveInt($J$50,O$50,$L54)</f>
        <v>#N/A Error:Invalid date range</v>
      </c>
      <c r="P54" s="645"/>
      <c r="Q54" s="645"/>
      <c r="R54" s="645"/>
      <c r="S54" s="633"/>
    </row>
    <row r="55" spans="2:20" ht="14.25" customHeight="1">
      <c r="B55" s="644"/>
      <c r="C55" s="645"/>
      <c r="D55" s="646"/>
      <c r="E55" s="645"/>
      <c r="F55" s="645"/>
      <c r="G55" s="633"/>
      <c r="I55" s="644"/>
      <c r="J55" s="645"/>
      <c r="K55" s="1963">
        <v>42673</v>
      </c>
      <c r="L55" s="1566" t="str">
        <f>TEXT(K55,"yyyymmdd")</f>
        <v>20161030</v>
      </c>
      <c r="M55" s="688" t="str">
        <f>_xll.BCurveInt($J$50,M$50,$L55)</f>
        <v>#N/A Error:Invalid date range</v>
      </c>
      <c r="N55" s="687" t="str">
        <f>_xll.BCurveInt($J$50,N$50,$L55)</f>
        <v>#N/A Error:Invalid date range</v>
      </c>
      <c r="O55" s="687" t="str">
        <f>_xll.BCurveInt($J$50,O$50,$L55)</f>
        <v>#N/A Error:Invalid date range</v>
      </c>
      <c r="P55" s="645"/>
      <c r="Q55" s="645"/>
      <c r="R55" s="645"/>
      <c r="S55" s="633"/>
    </row>
    <row r="56" spans="2:20" ht="14.25" customHeight="1">
      <c r="B56" s="644"/>
      <c r="C56" s="645"/>
      <c r="D56" s="646"/>
      <c r="E56" s="645"/>
      <c r="F56" s="645"/>
      <c r="G56" s="633"/>
      <c r="I56" s="644"/>
      <c r="J56" s="645"/>
      <c r="K56" s="645"/>
      <c r="L56" s="645"/>
      <c r="M56" s="645"/>
      <c r="N56" s="599" t="s">
        <v>1203</v>
      </c>
      <c r="O56" s="645"/>
      <c r="P56" s="645"/>
      <c r="Q56" s="645"/>
      <c r="R56" s="645"/>
      <c r="S56" s="633"/>
    </row>
    <row r="57" spans="2:20" ht="14.25" customHeight="1">
      <c r="B57" s="644"/>
      <c r="C57" s="645"/>
      <c r="D57" s="646"/>
      <c r="E57" s="645"/>
      <c r="F57" s="645"/>
      <c r="G57" s="633"/>
      <c r="I57" s="644"/>
      <c r="J57" s="645"/>
      <c r="K57" s="645"/>
      <c r="L57" s="645"/>
      <c r="M57" s="645"/>
      <c r="N57" s="599"/>
      <c r="O57" s="645"/>
      <c r="P57" s="645"/>
      <c r="Q57" s="645"/>
      <c r="R57" s="645"/>
      <c r="S57" s="633"/>
    </row>
    <row r="58" spans="2:20" ht="14.25" customHeight="1">
      <c r="B58" s="644"/>
      <c r="C58" s="645"/>
      <c r="D58" s="646"/>
      <c r="E58" s="645"/>
      <c r="F58" s="645"/>
      <c r="G58" s="633"/>
      <c r="I58" s="644"/>
      <c r="J58" s="645"/>
      <c r="K58" s="645"/>
      <c r="L58" s="645"/>
      <c r="M58" s="645"/>
      <c r="N58" s="599"/>
      <c r="O58" s="645"/>
      <c r="P58" s="645"/>
      <c r="Q58" s="645"/>
      <c r="R58" s="645"/>
      <c r="S58" s="633"/>
    </row>
    <row r="59" spans="2:20" ht="14.25" customHeight="1">
      <c r="B59" s="644"/>
      <c r="C59" s="645"/>
      <c r="D59" s="646"/>
      <c r="E59" s="645"/>
      <c r="F59" s="645"/>
      <c r="G59" s="633"/>
      <c r="I59" s="644"/>
      <c r="J59" s="645"/>
      <c r="K59" s="645"/>
      <c r="L59" s="645"/>
      <c r="M59" s="645"/>
      <c r="N59" s="663"/>
      <c r="O59" s="645"/>
      <c r="P59" s="645"/>
      <c r="Q59" s="645"/>
      <c r="R59" s="645"/>
      <c r="S59" s="633"/>
    </row>
    <row r="60" spans="2:20" ht="14.25" customHeight="1">
      <c r="B60" s="644"/>
      <c r="C60" s="645"/>
      <c r="D60" s="646"/>
      <c r="E60" s="645"/>
      <c r="F60" s="645"/>
      <c r="G60" s="633"/>
      <c r="I60" s="644" t="s">
        <v>1211</v>
      </c>
      <c r="J60" s="645"/>
      <c r="K60" s="645"/>
      <c r="L60" s="645"/>
      <c r="M60" s="645"/>
      <c r="N60" s="1566" t="s">
        <v>1210</v>
      </c>
      <c r="O60" s="599" t="s">
        <v>1213</v>
      </c>
      <c r="P60" s="645"/>
      <c r="Q60" s="668"/>
      <c r="R60" s="668" t="s">
        <v>1214</v>
      </c>
      <c r="S60" s="672"/>
    </row>
    <row r="61" spans="2:20" ht="14.25" customHeight="1">
      <c r="B61" s="644"/>
      <c r="C61" s="645"/>
      <c r="D61" s="646"/>
      <c r="E61" s="645"/>
      <c r="F61" s="645"/>
      <c r="G61" s="633"/>
      <c r="I61" s="644"/>
      <c r="J61" s="645"/>
      <c r="K61" s="645"/>
      <c r="L61" s="645"/>
      <c r="M61" s="645"/>
      <c r="N61" s="1965" t="s">
        <v>1120</v>
      </c>
      <c r="O61" s="663"/>
      <c r="P61" s="663"/>
      <c r="Q61" s="1965" t="s">
        <v>1120</v>
      </c>
      <c r="R61" s="669"/>
      <c r="S61" s="670"/>
    </row>
    <row r="62" spans="2:20" ht="14.25" customHeight="1">
      <c r="B62" s="644"/>
      <c r="C62" s="645"/>
      <c r="D62" s="646"/>
      <c r="E62" s="645"/>
      <c r="F62" s="645"/>
      <c r="G62" s="633"/>
      <c r="I62" s="644"/>
      <c r="J62" s="619"/>
      <c r="K62" s="671"/>
      <c r="L62" s="645"/>
      <c r="M62" s="645"/>
      <c r="N62" s="2435" t="str">
        <f>_xll.BCurveStrip(N61)</f>
        <v>EUR.3M:BLOOMBERG DC 359428</v>
      </c>
      <c r="O62" s="2436"/>
      <c r="P62" s="663"/>
      <c r="Q62" s="2430" t="str">
        <f>_xll.BCurveStrip(Q61)</f>
        <v>EUR.3M:BLOOMBERG DC 359428</v>
      </c>
      <c r="R62" s="2429"/>
      <c r="S62" s="670"/>
    </row>
    <row r="63" spans="2:20" ht="14.25" customHeight="1">
      <c r="B63" s="644"/>
      <c r="C63" s="645"/>
      <c r="D63" s="646"/>
      <c r="E63" s="645"/>
      <c r="F63" s="645"/>
      <c r="G63" s="633"/>
      <c r="I63" s="598"/>
      <c r="J63" s="645"/>
      <c r="K63" s="1966" t="s">
        <v>1204</v>
      </c>
      <c r="L63" s="1566" t="s">
        <v>1208</v>
      </c>
      <c r="M63" s="1566" t="s">
        <v>1209</v>
      </c>
      <c r="N63" s="689">
        <f>_xll.BCurveInt(N62,$N$60,$K$63:$K$68,"Frequency",$L$63:$L$68,"Daycount",$M$63:$M$68,"cols=1;rows=6")</f>
        <v>-0.36899999999999999</v>
      </c>
      <c r="O63" s="684"/>
      <c r="P63" s="685"/>
      <c r="Q63" s="690">
        <f>_xll.BCurveInt(Q62,$N$60,$K$63:$K$68,"Frequency",$L$63:$L$68,"Daycount",$M$63:$M$68,"cols=1;rows=6")</f>
        <v>-0.36899999999999999</v>
      </c>
      <c r="R63" s="645"/>
      <c r="S63" s="633"/>
    </row>
    <row r="64" spans="2:20" ht="14.25" customHeight="1">
      <c r="B64" s="644"/>
      <c r="C64" s="645"/>
      <c r="D64" s="646"/>
      <c r="E64" s="645"/>
      <c r="F64" s="645"/>
      <c r="G64" s="633"/>
      <c r="I64" s="644"/>
      <c r="J64" s="645"/>
      <c r="K64" s="1566" t="s">
        <v>1205</v>
      </c>
      <c r="L64" s="1566" t="s">
        <v>1208</v>
      </c>
      <c r="M64" s="1566" t="s">
        <v>1209</v>
      </c>
      <c r="N64" s="690">
        <v>-0.318</v>
      </c>
      <c r="O64" s="684"/>
      <c r="P64" s="685"/>
      <c r="Q64" s="690">
        <v>-0.318</v>
      </c>
      <c r="R64" s="645"/>
      <c r="S64" s="633"/>
    </row>
    <row r="65" spans="1:19" ht="14.25" customHeight="1">
      <c r="B65" s="644"/>
      <c r="C65" s="645"/>
      <c r="D65" s="646"/>
      <c r="E65" s="645"/>
      <c r="F65" s="645"/>
      <c r="G65" s="633"/>
      <c r="I65" s="644"/>
      <c r="J65" s="645"/>
      <c r="K65" s="1566" t="s">
        <v>1206</v>
      </c>
      <c r="L65" s="1566" t="s">
        <v>1208</v>
      </c>
      <c r="M65" s="1566" t="s">
        <v>1209</v>
      </c>
      <c r="N65" s="690">
        <v>-0.28592951669331873</v>
      </c>
      <c r="O65" s="684"/>
      <c r="P65" s="685"/>
      <c r="Q65" s="690">
        <v>-0.28592951669331873</v>
      </c>
      <c r="R65" s="645"/>
      <c r="S65" s="633"/>
    </row>
    <row r="66" spans="1:19" ht="14.25" customHeight="1">
      <c r="A66" s="1269"/>
      <c r="B66" s="15"/>
      <c r="C66" s="645"/>
      <c r="D66" s="646"/>
      <c r="E66" s="645"/>
      <c r="F66" s="645"/>
      <c r="G66" s="633"/>
      <c r="I66" s="644"/>
      <c r="J66" s="645"/>
      <c r="K66" s="1566" t="s">
        <v>1207</v>
      </c>
      <c r="L66" s="1566" t="s">
        <v>1208</v>
      </c>
      <c r="M66" s="1566" t="s">
        <v>1209</v>
      </c>
      <c r="N66" s="690">
        <v>-0.15392697936035007</v>
      </c>
      <c r="O66" s="684"/>
      <c r="P66" s="685"/>
      <c r="Q66" s="690">
        <v>-0.15392697936035007</v>
      </c>
      <c r="R66" s="645"/>
      <c r="S66" s="633"/>
    </row>
    <row r="67" spans="1:19" ht="14.25" customHeight="1">
      <c r="B67" s="644"/>
      <c r="C67" s="645"/>
      <c r="D67" s="646"/>
      <c r="E67" s="645"/>
      <c r="F67" s="645"/>
      <c r="G67" s="633"/>
      <c r="I67" s="644"/>
      <c r="J67" s="645"/>
      <c r="K67" s="1566" t="s">
        <v>1141</v>
      </c>
      <c r="L67" s="1566" t="s">
        <v>1208</v>
      </c>
      <c r="M67" s="1566" t="s">
        <v>1209</v>
      </c>
      <c r="N67" s="690">
        <v>0.34936430491888842</v>
      </c>
      <c r="O67" s="684"/>
      <c r="P67" s="685"/>
      <c r="Q67" s="690">
        <v>0.34936430491888842</v>
      </c>
      <c r="R67" s="645"/>
      <c r="S67" s="633"/>
    </row>
    <row r="68" spans="1:19" ht="14.25" customHeight="1">
      <c r="B68" s="644"/>
      <c r="C68" s="645"/>
      <c r="D68" s="646"/>
      <c r="E68" s="645"/>
      <c r="F68" s="645"/>
      <c r="G68" s="633"/>
      <c r="I68" s="644"/>
      <c r="J68" s="645"/>
      <c r="K68" s="1566" t="s">
        <v>1146</v>
      </c>
      <c r="L68" s="1566" t="s">
        <v>1208</v>
      </c>
      <c r="M68" s="1566" t="s">
        <v>1209</v>
      </c>
      <c r="N68" s="690">
        <v>0.98155595372342253</v>
      </c>
      <c r="O68" s="684"/>
      <c r="P68" s="685"/>
      <c r="Q68" s="690">
        <v>0.98155595372342253</v>
      </c>
      <c r="R68" s="645"/>
      <c r="S68" s="633"/>
    </row>
    <row r="69" spans="1:19" ht="14.25" customHeight="1">
      <c r="B69" s="644"/>
      <c r="C69" s="645"/>
      <c r="D69" s="646"/>
      <c r="E69" s="645"/>
      <c r="F69" s="645"/>
      <c r="G69" s="633"/>
      <c r="I69" s="644"/>
      <c r="J69" s="645"/>
      <c r="K69" s="599" t="s">
        <v>1212</v>
      </c>
      <c r="L69" s="645"/>
      <c r="M69" s="645"/>
      <c r="N69" s="645"/>
      <c r="O69" s="645"/>
      <c r="P69" s="645"/>
      <c r="Q69" s="645"/>
      <c r="R69" s="645"/>
      <c r="S69" s="633"/>
    </row>
    <row r="70" spans="1:19" ht="14.25" customHeight="1">
      <c r="B70" s="644"/>
      <c r="C70" s="645"/>
      <c r="D70" s="646"/>
      <c r="E70" s="645"/>
      <c r="F70" s="645"/>
      <c r="G70" s="633"/>
      <c r="I70" s="644"/>
      <c r="J70" s="645"/>
      <c r="K70" s="599" t="s">
        <v>1215</v>
      </c>
      <c r="L70" s="645"/>
      <c r="M70" s="645"/>
      <c r="N70" s="645"/>
      <c r="O70" s="645"/>
      <c r="P70" s="645"/>
      <c r="Q70" s="645"/>
      <c r="R70" s="645"/>
      <c r="S70" s="633"/>
    </row>
    <row r="71" spans="1:19" ht="14.25" customHeight="1">
      <c r="B71" s="644"/>
      <c r="C71" s="645"/>
      <c r="D71" s="646"/>
      <c r="E71" s="645"/>
      <c r="F71" s="645"/>
      <c r="G71" s="633"/>
      <c r="I71" s="644"/>
      <c r="J71" s="645"/>
      <c r="K71" s="645"/>
      <c r="L71" s="645"/>
      <c r="M71" s="645"/>
      <c r="N71" s="645"/>
      <c r="O71" s="645"/>
      <c r="P71" s="645"/>
      <c r="Q71" s="645"/>
      <c r="R71" s="645"/>
      <c r="S71" s="633"/>
    </row>
    <row r="72" spans="1:19" ht="14.25" customHeight="1">
      <c r="B72" s="647"/>
      <c r="C72" s="648"/>
      <c r="D72" s="649"/>
      <c r="E72" s="648"/>
      <c r="F72" s="648"/>
      <c r="G72" s="650"/>
      <c r="I72" s="673" t="s">
        <v>1667</v>
      </c>
      <c r="J72" s="648"/>
      <c r="K72" s="648"/>
      <c r="L72" s="648"/>
      <c r="M72" s="648"/>
      <c r="N72" s="648"/>
      <c r="O72" s="648"/>
      <c r="P72" s="648"/>
      <c r="Q72" s="648"/>
      <c r="R72" s="648"/>
      <c r="S72" s="650"/>
    </row>
    <row r="73" spans="1:19" ht="14.25" customHeight="1">
      <c r="I73" s="1958"/>
      <c r="J73" s="1955"/>
      <c r="K73" s="1955"/>
      <c r="L73" s="1955"/>
      <c r="M73" s="1955"/>
      <c r="N73" s="1955"/>
      <c r="O73" s="1955"/>
      <c r="P73" s="1955"/>
      <c r="Q73" s="1955"/>
      <c r="R73" s="1955"/>
      <c r="S73" s="1955"/>
    </row>
    <row r="74" spans="1:19" ht="14.25" customHeight="1">
      <c r="A74" s="1269"/>
      <c r="B74" s="1269"/>
    </row>
    <row r="75" spans="1:19" ht="14.25" customHeight="1">
      <c r="A75" s="1269"/>
      <c r="B75" s="1269"/>
      <c r="I75" s="1955"/>
      <c r="J75" s="1937"/>
    </row>
    <row r="76" spans="1:19" ht="14.25" customHeight="1">
      <c r="A76" s="1269"/>
      <c r="B76" s="1269"/>
    </row>
    <row r="77" spans="1:19" ht="14.25" customHeight="1">
      <c r="K77" s="1937"/>
    </row>
    <row r="78" spans="1:19" ht="14.25" customHeight="1">
      <c r="K78" s="1955"/>
    </row>
  </sheetData>
  <mergeCells count="5">
    <mergeCell ref="Q62:R62"/>
    <mergeCell ref="B13:C13"/>
    <mergeCell ref="E13:G13"/>
    <mergeCell ref="N62:O62"/>
    <mergeCell ref="J50:K50"/>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FFFF00"/>
  </sheetPr>
  <dimension ref="A3:S156"/>
  <sheetViews>
    <sheetView zoomScale="90" zoomScaleNormal="90" workbookViewId="0"/>
  </sheetViews>
  <sheetFormatPr baseColWidth="10" defaultColWidth="9.140625" defaultRowHeight="14.25" customHeight="1"/>
  <cols>
    <col min="1" max="1" width="3.7109375" style="1791" customWidth="1"/>
    <col min="2" max="2" width="28.7109375" style="1861" customWidth="1"/>
    <col min="3" max="3" width="16.140625" style="1791" customWidth="1"/>
    <col min="4" max="4" width="12.140625" style="1791" customWidth="1"/>
    <col min="5" max="5" width="11.28515625" style="1791" customWidth="1"/>
    <col min="6" max="6" width="12.28515625" style="1791" customWidth="1"/>
    <col min="7" max="9" width="13.7109375" style="1791" customWidth="1"/>
    <col min="10" max="10" width="15.85546875" style="1791" customWidth="1"/>
    <col min="11" max="12" width="13.7109375" style="1791" customWidth="1"/>
    <col min="13" max="16" width="9.140625" style="1791"/>
    <col min="17" max="17" width="9" style="1791" customWidth="1"/>
    <col min="18" max="18" width="16.28515625" style="1791" bestFit="1" customWidth="1"/>
    <col min="19" max="19" width="23.28515625" style="1791" bestFit="1" customWidth="1"/>
    <col min="20" max="20" width="9.140625" style="1791"/>
    <col min="21" max="24" width="12.42578125" style="1791" customWidth="1"/>
    <col min="25" max="16384" width="9.140625" style="1791"/>
  </cols>
  <sheetData>
    <row r="3" spans="2:11" ht="15.75" customHeight="1"/>
    <row r="4" spans="2:11" ht="16.5" customHeight="1">
      <c r="C4" s="2150" t="s">
        <v>2045</v>
      </c>
    </row>
    <row r="5" spans="2:11" ht="22.5" customHeight="1">
      <c r="B5" s="1186" t="s">
        <v>1179</v>
      </c>
    </row>
    <row r="6" spans="2:11" ht="21">
      <c r="B6" s="1184" t="s">
        <v>1173</v>
      </c>
    </row>
    <row r="7" spans="2:11" ht="14.25" customHeight="1">
      <c r="C7" s="1796"/>
      <c r="D7" s="1796"/>
    </row>
    <row r="8" spans="2:11" ht="14.25" customHeight="1">
      <c r="B8" s="681" t="s">
        <v>1156</v>
      </c>
      <c r="C8" s="683"/>
      <c r="D8" s="683"/>
      <c r="E8" s="696"/>
      <c r="F8" s="585" t="s">
        <v>1230</v>
      </c>
      <c r="G8" s="583"/>
      <c r="H8" s="583"/>
      <c r="I8" s="584"/>
      <c r="K8" s="1862"/>
    </row>
    <row r="9" spans="2:11" ht="14.25" customHeight="1">
      <c r="B9" s="615" t="s">
        <v>1240</v>
      </c>
      <c r="C9" s="616"/>
      <c r="D9" s="606"/>
      <c r="E9" s="697"/>
      <c r="F9" s="698" t="s">
        <v>1229</v>
      </c>
      <c r="G9" s="699"/>
      <c r="H9" s="699"/>
      <c r="I9" s="700"/>
      <c r="K9" s="1862"/>
    </row>
    <row r="10" spans="2:11" ht="14.25" customHeight="1">
      <c r="B10" s="618"/>
      <c r="C10" s="619"/>
      <c r="D10" s="616"/>
      <c r="E10" s="589"/>
      <c r="F10" s="617"/>
      <c r="G10" s="589"/>
      <c r="H10" s="589"/>
      <c r="I10" s="590"/>
    </row>
    <row r="11" spans="2:11" ht="14.25" customHeight="1">
      <c r="B11" s="1566" t="s">
        <v>1120</v>
      </c>
      <c r="C11" s="1575" t="s">
        <v>1157</v>
      </c>
      <c r="D11" s="1575" t="s">
        <v>1157</v>
      </c>
      <c r="E11" s="589"/>
      <c r="F11" s="589"/>
      <c r="G11" s="589"/>
      <c r="H11" s="589"/>
      <c r="I11" s="590"/>
    </row>
    <row r="12" spans="2:11" ht="14.25" customHeight="1">
      <c r="B12" s="1572" t="str">
        <f>_xll.BCurveStrip(B11,"curvedate=today")</f>
        <v>EUR.3M:BLOOMBERG DC 574483</v>
      </c>
      <c r="C12" s="1574">
        <v>43370</v>
      </c>
      <c r="D12" s="1574">
        <v>44466</v>
      </c>
      <c r="E12" s="589"/>
      <c r="F12" s="678"/>
      <c r="G12" s="678"/>
      <c r="H12" s="589"/>
      <c r="I12" s="590"/>
    </row>
    <row r="13" spans="2:11" ht="14.25" customHeight="1">
      <c r="B13" s="800"/>
      <c r="C13" s="589"/>
      <c r="D13" s="589"/>
      <c r="E13" s="589"/>
      <c r="F13" s="589"/>
      <c r="G13" s="589"/>
      <c r="H13" s="589"/>
      <c r="I13" s="590"/>
    </row>
    <row r="14" spans="2:11" ht="14.25" customHeight="1">
      <c r="B14" s="620" t="str">
        <f>_xll.BCurveFwd(B12,"zc.bid","term",C12,"tenor",D12)</f>
        <v>#N/A Error:Invalid date range</v>
      </c>
      <c r="C14" s="589"/>
      <c r="D14" s="589"/>
      <c r="E14" s="589"/>
      <c r="F14" s="589"/>
      <c r="G14" s="589"/>
      <c r="H14" s="589"/>
      <c r="I14" s="590"/>
    </row>
    <row r="15" spans="2:11" ht="14.25" customHeight="1">
      <c r="B15" s="800"/>
      <c r="C15" s="616" t="s">
        <v>1234</v>
      </c>
      <c r="D15" s="589"/>
      <c r="E15" s="589"/>
      <c r="F15" s="589"/>
      <c r="G15" s="589"/>
      <c r="H15" s="589"/>
      <c r="I15" s="590"/>
    </row>
    <row r="16" spans="2:11" ht="14.25" customHeight="1">
      <c r="B16" s="621"/>
      <c r="C16" s="699"/>
      <c r="D16" s="699"/>
      <c r="E16" s="699"/>
      <c r="F16" s="699"/>
      <c r="G16" s="699"/>
      <c r="H16" s="699"/>
      <c r="I16" s="700"/>
    </row>
    <row r="17" spans="2:19" ht="14.25" customHeight="1">
      <c r="D17" s="1796"/>
    </row>
    <row r="18" spans="2:19" ht="14.25" customHeight="1">
      <c r="B18" s="682" t="s">
        <v>1296</v>
      </c>
      <c r="C18" s="683"/>
      <c r="D18" s="683"/>
      <c r="E18" s="583"/>
      <c r="F18" s="614"/>
      <c r="G18" s="583"/>
      <c r="H18" s="583"/>
      <c r="I18" s="584"/>
    </row>
    <row r="19" spans="2:19" ht="14.25" customHeight="1">
      <c r="B19" s="679"/>
      <c r="C19" s="616"/>
      <c r="D19" s="606"/>
      <c r="E19" s="589"/>
      <c r="F19" s="617"/>
      <c r="G19" s="589"/>
      <c r="H19" s="589"/>
      <c r="I19" s="590"/>
    </row>
    <row r="20" spans="2:19" ht="14.25" customHeight="1">
      <c r="B20" s="1573">
        <v>42879</v>
      </c>
      <c r="C20" s="619"/>
      <c r="D20" s="616"/>
      <c r="E20" s="589"/>
      <c r="F20" s="617"/>
      <c r="G20" s="589"/>
      <c r="H20" s="589"/>
      <c r="I20" s="590"/>
    </row>
    <row r="21" spans="2:19" ht="14.25" customHeight="1">
      <c r="B21" s="1566" t="s">
        <v>1120</v>
      </c>
      <c r="C21" s="601" t="s">
        <v>1157</v>
      </c>
      <c r="D21" s="1576" t="s">
        <v>1295</v>
      </c>
      <c r="E21" s="589"/>
      <c r="F21" s="589"/>
      <c r="G21" s="589"/>
      <c r="H21" s="589"/>
      <c r="I21" s="590"/>
      <c r="K21" s="1797"/>
    </row>
    <row r="22" spans="2:19" ht="14.25" customHeight="1">
      <c r="B22" s="1572" t="str">
        <f>_xll.BCurveStrip(B21,"curvedate="&amp;B20)</f>
        <v>EUR.3M:BLOOMBERG DC 383479</v>
      </c>
      <c r="C22" s="1567">
        <v>43735</v>
      </c>
      <c r="D22" s="1567">
        <v>44100</v>
      </c>
      <c r="E22" s="589"/>
      <c r="F22" s="678"/>
      <c r="G22" s="678"/>
      <c r="H22" s="589"/>
      <c r="I22" s="590"/>
      <c r="K22" s="1863"/>
    </row>
    <row r="23" spans="2:19" ht="14.25" customHeight="1">
      <c r="B23" s="800"/>
      <c r="C23" s="589"/>
      <c r="D23" s="589"/>
      <c r="E23" s="589"/>
      <c r="F23" s="589"/>
      <c r="G23" s="589"/>
      <c r="H23" s="589"/>
      <c r="I23" s="590"/>
    </row>
    <row r="24" spans="2:19" ht="14.25" customHeight="1">
      <c r="B24" s="620">
        <f>_xll.BCurveFwd(B22,"zc.bid","term",C22,"tenor",D22)</f>
        <v>0.15584250647016074</v>
      </c>
      <c r="C24" s="616" t="s">
        <v>1235</v>
      </c>
      <c r="D24" s="589"/>
      <c r="E24" s="589"/>
      <c r="F24" s="589"/>
      <c r="G24" s="589"/>
      <c r="H24" s="589"/>
      <c r="I24" s="590"/>
    </row>
    <row r="25" spans="2:19" ht="14.25" customHeight="1">
      <c r="B25" s="800"/>
      <c r="C25" s="616" t="s">
        <v>1236</v>
      </c>
      <c r="D25" s="589"/>
      <c r="E25" s="589"/>
      <c r="F25" s="589"/>
      <c r="G25" s="589"/>
      <c r="H25" s="589"/>
      <c r="I25" s="590"/>
    </row>
    <row r="26" spans="2:19" ht="14.25" customHeight="1">
      <c r="B26" s="653" t="s">
        <v>1297</v>
      </c>
      <c r="C26" s="699"/>
      <c r="D26" s="699"/>
      <c r="E26" s="699"/>
      <c r="F26" s="699"/>
      <c r="G26" s="699"/>
      <c r="H26" s="699"/>
      <c r="I26" s="700"/>
    </row>
    <row r="27" spans="2:19" ht="14.25" customHeight="1">
      <c r="B27" s="1864"/>
      <c r="C27" s="1796"/>
      <c r="D27" s="1796"/>
      <c r="E27" s="1796"/>
      <c r="F27" s="1796"/>
      <c r="G27" s="1796"/>
      <c r="H27" s="1796"/>
      <c r="I27" s="1796"/>
      <c r="S27" s="2151"/>
    </row>
    <row r="28" spans="2:19" ht="14.25" customHeight="1">
      <c r="B28" s="1791"/>
      <c r="C28" s="1796"/>
      <c r="D28" s="1796"/>
      <c r="S28" s="2151"/>
    </row>
    <row r="29" spans="2:19" ht="14.25" customHeight="1">
      <c r="B29" s="804" t="s">
        <v>1158</v>
      </c>
      <c r="C29" s="583"/>
      <c r="D29" s="583"/>
      <c r="E29" s="583"/>
      <c r="F29" s="583"/>
      <c r="G29" s="583"/>
      <c r="H29" s="583"/>
      <c r="I29" s="583"/>
      <c r="J29" s="583"/>
      <c r="K29" s="584"/>
      <c r="S29" s="2151"/>
    </row>
    <row r="30" spans="2:19" ht="14.25" customHeight="1">
      <c r="B30" s="798"/>
      <c r="C30" s="607" t="s">
        <v>1450</v>
      </c>
      <c r="D30" s="799"/>
      <c r="E30" s="589"/>
      <c r="F30" s="589"/>
      <c r="G30" s="589"/>
      <c r="H30" s="589"/>
      <c r="I30" s="589"/>
      <c r="J30" s="589"/>
      <c r="K30" s="590"/>
      <c r="L30" s="1796"/>
      <c r="S30" s="2151"/>
    </row>
    <row r="31" spans="2:19" ht="14.25" customHeight="1">
      <c r="B31" s="1865" t="str">
        <f>_xll.BCurveStrip(C31)</f>
        <v>EUR.3M:BLOOMBERG DC 359428</v>
      </c>
      <c r="C31" s="2304" t="s">
        <v>1120</v>
      </c>
      <c r="D31" s="589"/>
      <c r="E31" s="589"/>
      <c r="F31" s="589"/>
      <c r="G31" s="589"/>
      <c r="H31" s="589"/>
      <c r="I31" s="589"/>
      <c r="J31" s="589"/>
      <c r="K31" s="590"/>
      <c r="L31" s="1796"/>
    </row>
    <row r="32" spans="2:19" ht="14.25" customHeight="1">
      <c r="B32" s="800"/>
      <c r="C32" s="596" t="s">
        <v>1449</v>
      </c>
      <c r="D32" s="589"/>
      <c r="E32" s="589"/>
      <c r="F32" s="589"/>
      <c r="G32" s="589"/>
      <c r="H32" s="589"/>
      <c r="I32" s="589"/>
      <c r="J32" s="589"/>
      <c r="K32" s="590"/>
      <c r="L32" s="1796"/>
    </row>
    <row r="33" spans="2:13" ht="14.25" customHeight="1">
      <c r="B33" s="800" t="s">
        <v>1159</v>
      </c>
      <c r="C33" s="623"/>
      <c r="D33" s="589"/>
      <c r="E33" s="589"/>
      <c r="F33" s="589"/>
      <c r="G33" s="589"/>
      <c r="H33" s="589"/>
      <c r="I33" s="589"/>
      <c r="J33" s="589"/>
      <c r="K33" s="590"/>
      <c r="L33" s="1796"/>
    </row>
    <row r="34" spans="2:13" ht="14.25" customHeight="1">
      <c r="B34" s="800"/>
      <c r="C34" s="589"/>
      <c r="D34" s="589"/>
      <c r="E34" s="589"/>
      <c r="F34" s="589"/>
      <c r="G34" s="589"/>
      <c r="H34" s="589"/>
      <c r="I34" s="589" t="s">
        <v>1270</v>
      </c>
      <c r="J34" s="589"/>
      <c r="K34" s="590"/>
      <c r="L34" s="1796"/>
    </row>
    <row r="35" spans="2:13" ht="14.25" customHeight="1">
      <c r="B35" s="801" t="s">
        <v>1160</v>
      </c>
      <c r="C35" s="1568" t="s">
        <v>1161</v>
      </c>
      <c r="D35" s="1568" t="s">
        <v>565</v>
      </c>
      <c r="E35" s="1568" t="s">
        <v>1162</v>
      </c>
      <c r="F35" s="1568" t="s">
        <v>1163</v>
      </c>
      <c r="G35" s="1569" t="e">
        <f ca="1">_xll.BToday()+1000</f>
        <v>#NAME?</v>
      </c>
      <c r="H35" s="589"/>
      <c r="I35" s="719" t="s">
        <v>1184</v>
      </c>
      <c r="J35" s="719" t="s">
        <v>1164</v>
      </c>
      <c r="K35" s="725" t="s">
        <v>719</v>
      </c>
      <c r="L35" s="1796"/>
    </row>
    <row r="36" spans="2:13" ht="14.25" customHeight="1">
      <c r="B36" s="801" t="s">
        <v>1164</v>
      </c>
      <c r="C36" s="624" t="s">
        <v>1884</v>
      </c>
      <c r="D36" s="624"/>
      <c r="E36" s="589"/>
      <c r="F36" s="589"/>
      <c r="G36" s="589"/>
      <c r="H36" s="589"/>
      <c r="I36" s="1851" t="s">
        <v>389</v>
      </c>
      <c r="J36" s="1852" t="s">
        <v>389</v>
      </c>
      <c r="K36" s="726" t="s">
        <v>1261</v>
      </c>
      <c r="L36" s="1796"/>
    </row>
    <row r="37" spans="2:13" ht="14.25" customHeight="1">
      <c r="B37" s="1570" t="s">
        <v>1161</v>
      </c>
      <c r="C37" s="625" t="e">
        <f ca="1">_xll.BCurveFwd($B$31,"zc.bid","tenor",B37:B43,"term",C35:G35)</f>
        <v>#NAME?</v>
      </c>
      <c r="D37" s="626"/>
      <c r="E37" s="626"/>
      <c r="F37" s="626"/>
      <c r="G37" s="626"/>
      <c r="H37" s="589"/>
      <c r="I37" s="1853" t="s">
        <v>389</v>
      </c>
      <c r="J37" s="720" t="s">
        <v>1184</v>
      </c>
      <c r="K37" s="802" t="s">
        <v>1261</v>
      </c>
      <c r="L37" s="1796"/>
      <c r="M37" s="1796"/>
    </row>
    <row r="38" spans="2:13" ht="14.25" customHeight="1">
      <c r="B38" s="1570" t="s">
        <v>1165</v>
      </c>
      <c r="C38" s="627"/>
      <c r="D38" s="626"/>
      <c r="E38" s="626"/>
      <c r="F38" s="626"/>
      <c r="G38" s="626"/>
      <c r="H38" s="589"/>
      <c r="I38" s="1854" t="s">
        <v>1184</v>
      </c>
      <c r="J38" s="721" t="s">
        <v>389</v>
      </c>
      <c r="K38" s="803" t="s">
        <v>1262</v>
      </c>
    </row>
    <row r="39" spans="2:13" ht="14.25" customHeight="1">
      <c r="B39" s="1570" t="s">
        <v>565</v>
      </c>
      <c r="C39" s="627"/>
      <c r="D39" s="626"/>
      <c r="E39" s="626"/>
      <c r="F39" s="626"/>
      <c r="G39" s="626"/>
      <c r="H39" s="589"/>
      <c r="I39" s="1855" t="s">
        <v>1184</v>
      </c>
      <c r="J39" s="1856" t="s">
        <v>1184</v>
      </c>
      <c r="K39" s="1857" t="s">
        <v>1261</v>
      </c>
    </row>
    <row r="40" spans="2:13" ht="14.25" customHeight="1">
      <c r="B40" s="1571" t="s">
        <v>1260</v>
      </c>
      <c r="C40" s="627"/>
      <c r="D40" s="626"/>
      <c r="E40" s="626"/>
      <c r="F40" s="626"/>
      <c r="G40" s="626"/>
      <c r="H40" s="589"/>
      <c r="I40" s="589"/>
      <c r="J40" s="589"/>
      <c r="K40" s="590"/>
    </row>
    <row r="41" spans="2:13" ht="14.25" customHeight="1">
      <c r="B41" s="1570" t="s">
        <v>1258</v>
      </c>
      <c r="C41" s="627"/>
      <c r="D41" s="626"/>
      <c r="E41" s="626"/>
      <c r="F41" s="626"/>
      <c r="G41" s="626"/>
      <c r="H41" s="589"/>
      <c r="I41" s="2430" t="s">
        <v>1269</v>
      </c>
      <c r="J41" s="2440"/>
      <c r="K41" s="1858"/>
    </row>
    <row r="42" spans="2:13" ht="14.25" customHeight="1">
      <c r="B42" s="1571" t="s">
        <v>1259</v>
      </c>
      <c r="C42" s="627"/>
      <c r="D42" s="626"/>
      <c r="E42" s="626"/>
      <c r="F42" s="626"/>
      <c r="G42" s="626"/>
      <c r="H42" s="589"/>
      <c r="I42" s="801" t="s">
        <v>1184</v>
      </c>
      <c r="J42" s="724" t="s">
        <v>1853</v>
      </c>
      <c r="K42" s="590"/>
    </row>
    <row r="43" spans="2:13" ht="14.25" customHeight="1">
      <c r="B43" s="1967" t="s">
        <v>1166</v>
      </c>
      <c r="C43" s="627"/>
      <c r="D43" s="626"/>
      <c r="E43" s="626"/>
      <c r="F43" s="626"/>
      <c r="G43" s="626"/>
      <c r="H43" s="589"/>
      <c r="I43" s="1859" t="s">
        <v>389</v>
      </c>
      <c r="J43" s="1860" t="s">
        <v>1268</v>
      </c>
      <c r="K43" s="700"/>
    </row>
    <row r="44" spans="2:13" ht="14.25" customHeight="1">
      <c r="B44" s="621"/>
      <c r="C44" s="699"/>
      <c r="D44" s="699"/>
      <c r="E44" s="699"/>
      <c r="F44" s="699"/>
      <c r="G44" s="699"/>
      <c r="H44" s="699"/>
      <c r="I44" s="699"/>
      <c r="J44" s="699"/>
      <c r="K44" s="700"/>
    </row>
    <row r="47" spans="2:13" ht="14.25" customHeight="1">
      <c r="B47" s="586" t="s">
        <v>1451</v>
      </c>
      <c r="C47" s="113"/>
      <c r="D47" s="113"/>
      <c r="E47" s="113"/>
      <c r="F47" s="113"/>
      <c r="G47" s="113"/>
      <c r="H47" s="113"/>
      <c r="I47" s="113"/>
      <c r="J47" s="113"/>
      <c r="K47" s="583"/>
      <c r="L47" s="583"/>
      <c r="M47" s="1794"/>
    </row>
    <row r="48" spans="2:13" ht="14.25" customHeight="1">
      <c r="B48" s="796"/>
      <c r="C48" s="622"/>
      <c r="D48" s="622"/>
      <c r="E48" s="25"/>
      <c r="F48" s="25"/>
      <c r="G48" s="25"/>
      <c r="H48" s="25"/>
      <c r="I48" s="25"/>
      <c r="J48" s="25"/>
      <c r="K48" s="25"/>
      <c r="L48" s="25"/>
      <c r="M48" s="1794"/>
    </row>
    <row r="49" spans="2:14" ht="14.25" customHeight="1">
      <c r="B49" s="82" t="s">
        <v>1424</v>
      </c>
      <c r="C49" s="622"/>
      <c r="D49" s="622"/>
      <c r="E49" s="25"/>
      <c r="F49" s="589"/>
      <c r="G49" s="115"/>
      <c r="H49" s="589"/>
      <c r="I49" s="589"/>
      <c r="J49" s="589"/>
      <c r="K49" s="589"/>
      <c r="L49" s="589"/>
      <c r="M49" s="1794"/>
    </row>
    <row r="50" spans="2:14" ht="14.25" customHeight="1">
      <c r="B50" s="82" t="s">
        <v>1427</v>
      </c>
      <c r="C50" s="622"/>
      <c r="D50" s="622"/>
      <c r="E50" s="25"/>
      <c r="F50" s="589"/>
      <c r="G50" s="115"/>
      <c r="H50" s="589"/>
      <c r="I50" s="2439" t="s">
        <v>1426</v>
      </c>
      <c r="J50" s="2439"/>
      <c r="K50" s="2439"/>
      <c r="L50" s="2439"/>
      <c r="M50" s="1794"/>
    </row>
    <row r="51" spans="2:14" ht="14.25" customHeight="1">
      <c r="B51" s="82" t="s">
        <v>1429</v>
      </c>
      <c r="C51" s="622"/>
      <c r="D51" s="622"/>
      <c r="E51" s="25"/>
      <c r="F51" s="25"/>
      <c r="G51" s="115"/>
      <c r="H51" s="589"/>
      <c r="I51" s="1577">
        <v>2</v>
      </c>
      <c r="J51" s="857"/>
      <c r="K51" s="796"/>
      <c r="L51" s="1577">
        <v>3</v>
      </c>
      <c r="M51" s="1794"/>
    </row>
    <row r="52" spans="2:14" ht="14.25" customHeight="1">
      <c r="B52" s="82" t="s">
        <v>1430</v>
      </c>
      <c r="C52" s="622"/>
      <c r="D52" s="622"/>
      <c r="E52" s="25"/>
      <c r="F52" s="25"/>
      <c r="G52" s="115"/>
      <c r="H52" s="589"/>
      <c r="I52" s="1578">
        <v>97.75</v>
      </c>
      <c r="J52" s="744"/>
      <c r="K52" s="796"/>
      <c r="L52" s="1578">
        <v>97.75</v>
      </c>
      <c r="M52" s="1794"/>
    </row>
    <row r="53" spans="2:14" ht="14.25" customHeight="1">
      <c r="B53" s="82" t="s">
        <v>608</v>
      </c>
      <c r="C53" s="622"/>
      <c r="D53" s="622"/>
      <c r="E53" s="25"/>
      <c r="F53" s="589"/>
      <c r="G53" s="169"/>
      <c r="H53" s="589"/>
      <c r="I53" s="1579">
        <v>42376</v>
      </c>
      <c r="J53" s="858"/>
      <c r="K53" s="796"/>
      <c r="L53" s="1579">
        <v>42376</v>
      </c>
      <c r="M53" s="1794"/>
    </row>
    <row r="54" spans="2:14" ht="14.25" customHeight="1">
      <c r="B54" s="796"/>
      <c r="C54" s="622"/>
      <c r="D54" s="622"/>
      <c r="E54" s="25"/>
      <c r="F54" s="25"/>
      <c r="G54" s="25"/>
      <c r="H54" s="589"/>
      <c r="I54" s="1580">
        <f>I53</f>
        <v>42376</v>
      </c>
      <c r="J54" s="859"/>
      <c r="K54" s="796"/>
      <c r="L54" s="1580">
        <f>L53</f>
        <v>42376</v>
      </c>
      <c r="M54" s="1794"/>
    </row>
    <row r="55" spans="2:14" ht="14.25" customHeight="1">
      <c r="B55" s="1581" t="s">
        <v>1425</v>
      </c>
      <c r="C55" s="622"/>
      <c r="D55" s="622"/>
      <c r="E55" s="25"/>
      <c r="F55" s="622"/>
      <c r="G55" s="25" t="s">
        <v>1431</v>
      </c>
      <c r="H55" s="589"/>
      <c r="I55" s="1578" t="s">
        <v>1161</v>
      </c>
      <c r="J55" s="744"/>
      <c r="K55" s="796"/>
      <c r="L55" s="1578" t="s">
        <v>565</v>
      </c>
      <c r="M55" s="1794"/>
    </row>
    <row r="56" spans="2:14" ht="14.25" customHeight="1">
      <c r="B56" s="1581" t="s">
        <v>1428</v>
      </c>
      <c r="C56" s="622"/>
      <c r="D56" s="622"/>
      <c r="E56" s="25"/>
      <c r="F56" s="622"/>
      <c r="G56" s="25" t="s">
        <v>1432</v>
      </c>
      <c r="H56" s="589"/>
      <c r="I56" s="1579" t="e">
        <f ca="1">_xll.BADDPERIODS($B$57,"NumberOfPeriods",MID(I55,1,SEARCH(LEFT(I55,1),I55)),"Per",RIGHT(I55,1),"CDR",$B$56)</f>
        <v>#NAME?</v>
      </c>
      <c r="J56" s="858"/>
      <c r="K56" s="796"/>
      <c r="L56" s="1579" t="e">
        <f ca="1">_xll.BADDPERIODS($B$57,"NumberOfPeriods",MID(L55,1,SEARCH(LEFT(L55,1),L55)),"Per",RIGHT(L55,1),"CDR",$B$56)</f>
        <v>#NAME?</v>
      </c>
      <c r="M56" s="1794"/>
    </row>
    <row r="57" spans="2:14" ht="14.25" customHeight="1">
      <c r="B57" s="1304">
        <v>42375</v>
      </c>
      <c r="C57" s="622"/>
      <c r="D57" s="622"/>
      <c r="E57" s="25"/>
      <c r="F57" s="25"/>
      <c r="G57" s="25"/>
      <c r="H57" s="169"/>
      <c r="I57" s="169"/>
      <c r="J57" s="169"/>
      <c r="K57" s="448"/>
      <c r="L57" s="589"/>
      <c r="M57" s="1794"/>
    </row>
    <row r="58" spans="2:14" ht="14.25" customHeight="1">
      <c r="B58" s="796"/>
      <c r="C58" s="622"/>
      <c r="D58" s="622"/>
      <c r="E58" s="25"/>
      <c r="F58" s="25"/>
      <c r="G58" s="25"/>
      <c r="H58" s="622"/>
      <c r="I58" s="25"/>
      <c r="J58" s="25"/>
      <c r="K58" s="82"/>
      <c r="L58" s="25"/>
      <c r="M58" s="1794"/>
    </row>
    <row r="59" spans="2:14" ht="14.25" customHeight="1">
      <c r="B59" s="796"/>
      <c r="C59" s="699"/>
      <c r="D59" s="699"/>
      <c r="E59" s="699"/>
      <c r="F59" s="699"/>
      <c r="G59" s="699"/>
      <c r="H59" s="35" t="s">
        <v>1623</v>
      </c>
      <c r="I59" s="589"/>
      <c r="J59" s="589"/>
      <c r="K59" s="594"/>
      <c r="L59" s="589"/>
      <c r="M59" s="1794"/>
    </row>
    <row r="60" spans="2:14" ht="14.25" customHeight="1">
      <c r="B60" s="797" t="e">
        <f>_xll.BDS(B55,"CURVE_TENOR_RATES","EndCol=2","Headers=True","cols=2;rows=15")</f>
        <v>#N/A</v>
      </c>
      <c r="C60" s="589" t="s">
        <v>1433</v>
      </c>
      <c r="D60" s="25" t="s">
        <v>1433</v>
      </c>
      <c r="E60" s="622"/>
      <c r="F60" s="25" t="s">
        <v>1434</v>
      </c>
      <c r="G60" s="25"/>
      <c r="H60" s="838" t="s">
        <v>470</v>
      </c>
      <c r="I60" s="1969" t="s">
        <v>1619</v>
      </c>
      <c r="J60" s="855" t="s">
        <v>1620</v>
      </c>
      <c r="K60" s="1971" t="s">
        <v>1619</v>
      </c>
      <c r="L60" s="855" t="s">
        <v>1620</v>
      </c>
      <c r="M60" s="1794"/>
    </row>
    <row r="61" spans="2:14" ht="14.25" customHeight="1">
      <c r="B61" s="797" t="s">
        <v>851</v>
      </c>
      <c r="C61" s="589" t="s">
        <v>1436</v>
      </c>
      <c r="D61" s="25" t="s">
        <v>1435</v>
      </c>
      <c r="E61" s="622"/>
      <c r="F61" s="25" t="e">
        <f ca="1">_xll.BDP(D61,"SECURITY_DES")</f>
        <v>#NAME?</v>
      </c>
      <c r="G61" s="25"/>
      <c r="H61" s="391" t="e">
        <f ca="1">_xll.BDP(C61,H$60)</f>
        <v>#NAME?</v>
      </c>
      <c r="I61" s="1968" t="e">
        <f ca="1">_xll.BDP($D61,"REPO_FORWARD_YLD","REPO_TERM_DATE",I$56,$B$51:$B$53,$I$51:$I$53)</f>
        <v>#NAME?</v>
      </c>
      <c r="J61" s="1972" t="e">
        <f ca="1">_xll.BDP($D61,"REPO_FORWARD_PRICE","REPO_TERM_DATE",I$56,$B$51:$B$53,$I$51:$I$53)</f>
        <v>#NAME?</v>
      </c>
      <c r="K61" s="856" t="e">
        <f ca="1">_xll.BDP($D61,"REPO_FORWARD_YLD","REPO_TERM_DATE",L$56,$B$51:$B$53,$L$51:$L$53)</f>
        <v>#NAME?</v>
      </c>
      <c r="L61" s="854" t="e">
        <f ca="1">_xll.BDP($D61,"REPO_FORWARD_price","REPO_TERM_DATE",L$56,$B$51:$B$53,$L$51:$L$53)</f>
        <v>#NAME?</v>
      </c>
      <c r="M61" s="1794"/>
      <c r="N61" s="1866"/>
    </row>
    <row r="62" spans="2:14" ht="14.25" customHeight="1">
      <c r="B62" s="797" t="s">
        <v>852</v>
      </c>
      <c r="C62" s="589" t="s">
        <v>1437</v>
      </c>
      <c r="D62" s="25" t="s">
        <v>1436</v>
      </c>
      <c r="E62" s="622"/>
      <c r="F62" s="25" t="e">
        <f ca="1">_xll.BDP(D62,"SECURITY_DES")</f>
        <v>#NAME?</v>
      </c>
      <c r="G62" s="25"/>
      <c r="H62" s="391" t="e">
        <f ca="1">_xll.BDP(C62,H$60)</f>
        <v>#NAME?</v>
      </c>
      <c r="I62" s="856" t="e">
        <f ca="1">_xll.BDP($D62,"REPO_FORWARD_YLD","REPO_TERM_DATE",I$56,$B$51:$B$53,$I$51:$I$53)</f>
        <v>#NAME?</v>
      </c>
      <c r="J62" s="854" t="e">
        <f ca="1">_xll.BDP($D62,"REPO_FORWARD_PRICE","REPO_TERM_DATE",I$56,$B$51:$B$53,$I$51:$I$53)</f>
        <v>#NAME?</v>
      </c>
      <c r="K62" s="856" t="e">
        <f ca="1">_xll.BDP($D62,"REPO_FORWARD_YLD","REPO_TERM_DATE",L$54,$B$51:$B$53,$L$51:$L$53)</f>
        <v>#NAME?</v>
      </c>
      <c r="L62" s="854" t="e">
        <f ca="1">_xll.BDP($D62,"REPO_FORWARD_price","REPO_TERM_DATE",L$56,$B$51:$B$53,$L$51:$L$53)</f>
        <v>#NAME?</v>
      </c>
      <c r="M62" s="1794"/>
    </row>
    <row r="63" spans="2:14" ht="14.25" customHeight="1">
      <c r="B63" s="797" t="s">
        <v>853</v>
      </c>
      <c r="C63" s="589" t="s">
        <v>1438</v>
      </c>
      <c r="D63" s="25" t="s">
        <v>1437</v>
      </c>
      <c r="E63" s="622"/>
      <c r="F63" s="25" t="e">
        <f ca="1">_xll.BDP(D63,"SECURITY_DES")</f>
        <v>#NAME?</v>
      </c>
      <c r="G63" s="25"/>
      <c r="H63" s="391" t="e">
        <f ca="1">_xll.BDP(C63,H$60)</f>
        <v>#NAME?</v>
      </c>
      <c r="I63" s="856" t="e">
        <f ca="1">_xll.BDP($D63,"REPO_FORWARD_YLD","REPO_TERM_DATE",I$56,$B$51:$B$53,$I$51:$I$53)</f>
        <v>#NAME?</v>
      </c>
      <c r="J63" s="854" t="e">
        <f ca="1">_xll.BDP($D63,"REPO_FORWARD_PRICE","REPO_TERM_DATE",I$56,$B$51:$B$53,$I$51:$I$53)</f>
        <v>#NAME?</v>
      </c>
      <c r="K63" s="856" t="e">
        <f ca="1">_xll.BDP($D63,"REPO_FORWARD_YLD","REPO_TERM_DATE",L$54,$B$51:$B$53,$L$51:$L$53)</f>
        <v>#NAME?</v>
      </c>
      <c r="L63" s="854" t="e">
        <f ca="1">_xll.BDP($D63,"REPO_FORWARD_price","REPO_TERM_DATE",L$56,$B$51:$B$53,$L$51:$L$53)</f>
        <v>#NAME?</v>
      </c>
      <c r="M63" s="1794"/>
    </row>
    <row r="64" spans="2:14" ht="14.25" customHeight="1">
      <c r="B64" s="797" t="s">
        <v>854</v>
      </c>
      <c r="C64" s="589" t="s">
        <v>1439</v>
      </c>
      <c r="D64" s="25" t="s">
        <v>1438</v>
      </c>
      <c r="E64" s="622"/>
      <c r="F64" s="25" t="e">
        <f ca="1">_xll.BDP(D64,"SECURITY_DES")</f>
        <v>#NAME?</v>
      </c>
      <c r="G64" s="25"/>
      <c r="H64" s="391" t="e">
        <f ca="1">_xll.BDP(C64,H$60)</f>
        <v>#NAME?</v>
      </c>
      <c r="I64" s="856" t="e">
        <f ca="1">_xll.BDP($D64,"REPO_FORWARD_YLD","REPO_TERM_DATE",I$56,$B$51:$B$53,$I$51:$I$53)</f>
        <v>#NAME?</v>
      </c>
      <c r="J64" s="854" t="e">
        <f ca="1">_xll.BDP($D64,"REPO_FORWARD_PRICE","REPO_TERM_DATE",I$56,$B$51:$B$53,$I$51:$I$53)</f>
        <v>#NAME?</v>
      </c>
      <c r="K64" s="856" t="e">
        <f ca="1">_xll.BDP($D64,"REPO_FORWARD_YLD","REPO_TERM_DATE",L$54,$B$51:$B$53,$L$51:$L$53)</f>
        <v>#NAME?</v>
      </c>
      <c r="L64" s="854" t="e">
        <f ca="1">_xll.BDP($D64,"REPO_FORWARD_price","REPO_TERM_DATE",L$56,$B$51:$B$53,$L$51:$L$53)</f>
        <v>#NAME?</v>
      </c>
      <c r="M64" s="1794"/>
    </row>
    <row r="65" spans="2:13" ht="14.25" customHeight="1">
      <c r="B65" s="797" t="s">
        <v>855</v>
      </c>
      <c r="C65" s="589" t="s">
        <v>1440</v>
      </c>
      <c r="D65" s="228" t="s">
        <v>1439</v>
      </c>
      <c r="E65" s="622"/>
      <c r="F65" s="25" t="e">
        <f ca="1">_xll.BDP(D65,"SECURITY_DES")</f>
        <v>#NAME?</v>
      </c>
      <c r="G65" s="25"/>
      <c r="H65" s="391" t="e">
        <f ca="1">_xll.BDP(C65,H$60)</f>
        <v>#NAME?</v>
      </c>
      <c r="I65" s="856" t="e">
        <f ca="1">_xll.BDP($D65,"REPO_FORWARD_YLD","REPO_TERM_DATE",I$56,$B$51:$B$53,$I$51:$I$53)</f>
        <v>#NAME?</v>
      </c>
      <c r="J65" s="854" t="e">
        <f ca="1">_xll.BDP($D65,"REPO_FORWARD_PRICE","REPO_TERM_DATE",I$56,$B$51:$B$53,$I$51:$I$53)</f>
        <v>#NAME?</v>
      </c>
      <c r="K65" s="856" t="e">
        <f ca="1">_xll.BDP($D65,"REPO_FORWARD_YLD","REPO_TERM_DATE",L$54,$B$51:$B$53,$L$51:$L$53)</f>
        <v>#NAME?</v>
      </c>
      <c r="L65" s="854" t="e">
        <f ca="1">_xll.BDP($D65,"REPO_FORWARD_price","REPO_TERM_DATE",L$56,$B$51:$B$53,$L$51:$L$53)</f>
        <v>#NAME?</v>
      </c>
      <c r="M65" s="1794"/>
    </row>
    <row r="66" spans="2:13" ht="14.25" customHeight="1">
      <c r="B66" s="797" t="s">
        <v>856</v>
      </c>
      <c r="C66" s="589" t="s">
        <v>1441</v>
      </c>
      <c r="D66" s="25" t="s">
        <v>1440</v>
      </c>
      <c r="E66" s="622"/>
      <c r="F66" s="25" t="e">
        <f ca="1">_xll.BDP(D66,"SECURITY_DES")</f>
        <v>#NAME?</v>
      </c>
      <c r="G66" s="25"/>
      <c r="H66" s="391" t="e">
        <f ca="1">_xll.BDP(C66,H$60)</f>
        <v>#NAME?</v>
      </c>
      <c r="I66" s="856" t="e">
        <f ca="1">_xll.BDP($D66,"REPO_FORWARD_YLD","REPO_TERM_DATE",I$56,$B$51:$B$53,$I$51:$I$53)</f>
        <v>#NAME?</v>
      </c>
      <c r="J66" s="854" t="e">
        <f ca="1">_xll.BDP($D66,"REPO_FORWARD_PRICE","REPO_TERM_DATE",I$56,$B$51:$B$53,$I$51:$I$53)</f>
        <v>#NAME?</v>
      </c>
      <c r="K66" s="856" t="e">
        <f ca="1">_xll.BDP($D66,"REPO_FORWARD_YLD","REPO_TERM_DATE",L$54,$B$51:$B$53,$L$51:$L$53)</f>
        <v>#NAME?</v>
      </c>
      <c r="L66" s="854" t="e">
        <f ca="1">_xll.BDP($D66,"REPO_FORWARD_price","REPO_TERM_DATE",L$56,$B$51:$B$53,$L$51:$L$53)</f>
        <v>#NAME?</v>
      </c>
      <c r="M66" s="1794"/>
    </row>
    <row r="67" spans="2:13" ht="14.25" customHeight="1">
      <c r="B67" s="797" t="s">
        <v>857</v>
      </c>
      <c r="C67" s="589" t="s">
        <v>1442</v>
      </c>
      <c r="D67" s="25" t="s">
        <v>1441</v>
      </c>
      <c r="E67" s="622"/>
      <c r="F67" s="25" t="e">
        <f ca="1">_xll.BDP(D67,"SECURITY_DES")</f>
        <v>#NAME?</v>
      </c>
      <c r="G67" s="25"/>
      <c r="H67" s="391" t="e">
        <f ca="1">_xll.BDP(C67,H$60)</f>
        <v>#NAME?</v>
      </c>
      <c r="I67" s="856" t="e">
        <f ca="1">_xll.BDP($D67,"REPO_FORWARD_YLD","REPO_TERM_DATE",I$56,$B$51:$B$53,$I$51:$I$53)</f>
        <v>#NAME?</v>
      </c>
      <c r="J67" s="854" t="e">
        <f ca="1">_xll.BDP($D67,"REPO_FORWARD_PRICE","REPO_TERM_DATE",I$56,$B$51:$B$53,$I$51:$I$53)</f>
        <v>#NAME?</v>
      </c>
      <c r="K67" s="856" t="e">
        <f ca="1">_xll.BDP($D67,"REPO_FORWARD_YLD","REPO_TERM_DATE",L$54,$B$51:$B$53,$L$51:$L$53)</f>
        <v>#NAME?</v>
      </c>
      <c r="L67" s="854" t="e">
        <f ca="1">_xll.BDP($D67,"REPO_FORWARD_price","REPO_TERM_DATE",L$56,$B$51:$B$53,$L$51:$L$53)</f>
        <v>#NAME?</v>
      </c>
      <c r="M67" s="1794"/>
    </row>
    <row r="68" spans="2:13" ht="14.25" customHeight="1">
      <c r="B68" s="797" t="s">
        <v>858</v>
      </c>
      <c r="C68" s="589" t="s">
        <v>1443</v>
      </c>
      <c r="D68" s="25" t="s">
        <v>1442</v>
      </c>
      <c r="E68" s="622"/>
      <c r="F68" s="25" t="e">
        <f ca="1">_xll.BDP(D68,"SECURITY_DES")</f>
        <v>#NAME?</v>
      </c>
      <c r="G68" s="25"/>
      <c r="H68" s="391" t="e">
        <f ca="1">_xll.BDP(C68,H$60)</f>
        <v>#NAME?</v>
      </c>
      <c r="I68" s="856" t="e">
        <f ca="1">_xll.BDP($D68,"REPO_FORWARD_YLD","REPO_TERM_DATE",I$56,$B$51:$B$53,$I$51:$I$53)</f>
        <v>#NAME?</v>
      </c>
      <c r="J68" s="854" t="e">
        <f ca="1">_xll.BDP($D68,"REPO_FORWARD_PRICE","REPO_TERM_DATE",I$56,$B$51:$B$53,$I$51:$I$53)</f>
        <v>#NAME?</v>
      </c>
      <c r="K68" s="856" t="e">
        <f ca="1">_xll.BDP($D68,"REPO_FORWARD_YLD","REPO_TERM_DATE",L$54,$B$51:$B$53,$L$51:$L$53)</f>
        <v>#NAME?</v>
      </c>
      <c r="L68" s="854" t="e">
        <f ca="1">_xll.BDP($D68,"REPO_FORWARD_price","REPO_TERM_DATE",L$56,$B$51:$B$53,$L$51:$L$53)</f>
        <v>#NAME?</v>
      </c>
      <c r="M68" s="1794"/>
    </row>
    <row r="69" spans="2:13" ht="14.25" customHeight="1">
      <c r="B69" s="797" t="s">
        <v>859</v>
      </c>
      <c r="C69" s="589" t="s">
        <v>1444</v>
      </c>
      <c r="D69" s="25" t="s">
        <v>1443</v>
      </c>
      <c r="E69" s="622"/>
      <c r="F69" s="25" t="e">
        <f ca="1">_xll.BDP(D69,"SECURITY_DES")</f>
        <v>#NAME?</v>
      </c>
      <c r="G69" s="25"/>
      <c r="H69" s="391" t="e">
        <f ca="1">_xll.BDP(C69,H$60)</f>
        <v>#NAME?</v>
      </c>
      <c r="I69" s="856" t="e">
        <f ca="1">_xll.BDP($D69,"REPO_FORWARD_YLD","REPO_TERM_DATE",I$56,$B$51:$B$53,$I$51:$I$53)</f>
        <v>#NAME?</v>
      </c>
      <c r="J69" s="854" t="e">
        <f ca="1">_xll.BDP($D69,"REPO_FORWARD_PRICE","REPO_TERM_DATE",I$56,$B$51:$B$53,$I$51:$I$53)</f>
        <v>#NAME?</v>
      </c>
      <c r="K69" s="856" t="e">
        <f ca="1">_xll.BDP($D69,"REPO_FORWARD_YLD","REPO_TERM_DATE",L$54,$B$51:$B$53,$L$51:$L$53)</f>
        <v>#NAME?</v>
      </c>
      <c r="L69" s="854" t="e">
        <f ca="1">_xll.BDP($D69,"REPO_FORWARD_price","REPO_TERM_DATE",L$56,$B$51:$B$53,$L$51:$L$53)</f>
        <v>#NAME?</v>
      </c>
      <c r="M69" s="1794"/>
    </row>
    <row r="70" spans="2:13" ht="14.25" customHeight="1">
      <c r="B70" s="797" t="s">
        <v>860</v>
      </c>
      <c r="C70" s="589" t="s">
        <v>2046</v>
      </c>
      <c r="D70" s="25" t="s">
        <v>1444</v>
      </c>
      <c r="E70" s="622"/>
      <c r="F70" s="25" t="e">
        <f ca="1">_xll.BDP(D70,"SECURITY_DES")</f>
        <v>#NAME?</v>
      </c>
      <c r="G70" s="25"/>
      <c r="H70" s="391" t="e">
        <f ca="1">_xll.BDP(C70,H$60)</f>
        <v>#NAME?</v>
      </c>
      <c r="I70" s="856" t="e">
        <f ca="1">_xll.BDP($D70,"REPO_FORWARD_YLD","REPO_TERM_DATE",I$56,$B$51:$B$53,$I$51:$I$53)</f>
        <v>#NAME?</v>
      </c>
      <c r="J70" s="854" t="e">
        <f ca="1">_xll.BDP($D70,"REPO_FORWARD_PRICE","REPO_TERM_DATE",I$56,$B$51:$B$53,$I$51:$I$53)</f>
        <v>#NAME?</v>
      </c>
      <c r="K70" s="856" t="e">
        <f ca="1">_xll.BDP($D70,"REPO_FORWARD_YLD","REPO_TERM_DATE",L$54,$B$51:$B$53,$L$51:$L$53)</f>
        <v>#NAME?</v>
      </c>
      <c r="L70" s="854" t="e">
        <f ca="1">_xll.BDP($D70,"REPO_FORWARD_price","REPO_TERM_DATE",L$56,$B$51:$B$53,$L$51:$L$53)</f>
        <v>#NAME?</v>
      </c>
      <c r="M70" s="1794"/>
    </row>
    <row r="71" spans="2:13" ht="14.25" customHeight="1">
      <c r="B71" s="797" t="s">
        <v>861</v>
      </c>
      <c r="C71" s="589" t="s">
        <v>1445</v>
      </c>
      <c r="D71" s="25" t="s">
        <v>1445</v>
      </c>
      <c r="E71" s="622"/>
      <c r="F71" s="25" t="e">
        <f ca="1">_xll.BDP(D71,"SECURITY_DES")</f>
        <v>#NAME?</v>
      </c>
      <c r="G71" s="25"/>
      <c r="H71" s="391" t="e">
        <f ca="1">_xll.BDP(C71,H$60)</f>
        <v>#NAME?</v>
      </c>
      <c r="I71" s="856" t="e">
        <f ca="1">_xll.BDP($D71,"REPO_FORWARD_YLD","REPO_TERM_DATE",I$56,$B$51:$B$53,$I$51:$I$53)</f>
        <v>#NAME?</v>
      </c>
      <c r="J71" s="854" t="e">
        <f ca="1">_xll.BDP($D71,"REPO_FORWARD_PRICE","REPO_TERM_DATE",I$56,$B$51:$B$53,$I$51:$I$53)</f>
        <v>#NAME?</v>
      </c>
      <c r="K71" s="856" t="e">
        <f ca="1">_xll.BDP($D71,"REPO_FORWARD_YLD","REPO_TERM_DATE",L$54,$B$51:$B$53,$L$51:$L$53)</f>
        <v>#NAME?</v>
      </c>
      <c r="L71" s="854" t="e">
        <f ca="1">_xll.BDP($D71,"REPO_FORWARD_price","REPO_TERM_DATE",L$56,$B$51:$B$53,$L$51:$L$53)</f>
        <v>#NAME?</v>
      </c>
      <c r="M71" s="1794"/>
    </row>
    <row r="72" spans="2:13" ht="14.25" customHeight="1">
      <c r="B72" s="797" t="s">
        <v>862</v>
      </c>
      <c r="C72" s="589" t="s">
        <v>1447</v>
      </c>
      <c r="D72" s="25" t="s">
        <v>1446</v>
      </c>
      <c r="E72" s="622"/>
      <c r="F72" s="25" t="e">
        <f ca="1">_xll.BDP(D72,"SECURITY_DES")</f>
        <v>#NAME?</v>
      </c>
      <c r="G72" s="25"/>
      <c r="H72" s="391" t="e">
        <f ca="1">_xll.BDP(C72,H$60)</f>
        <v>#NAME?</v>
      </c>
      <c r="I72" s="856" t="e">
        <f ca="1">_xll.BDP($D72,"REPO_FORWARD_YLD","REPO_TERM_DATE",I$56,$B$51:$B$53,$I$51:$I$53)</f>
        <v>#NAME?</v>
      </c>
      <c r="J72" s="854" t="e">
        <f ca="1">_xll.BDP($D72,"REPO_FORWARD_PRICE","REPO_TERM_DATE",I$56,$B$51:$B$53,$I$51:$I$53)</f>
        <v>#NAME?</v>
      </c>
      <c r="K72" s="856" t="e">
        <f ca="1">_xll.BDP($D72,"REPO_FORWARD_YLD","REPO_TERM_DATE",L$54,$B$51:$B$53,$L$51:$L$53)</f>
        <v>#NAME?</v>
      </c>
      <c r="L72" s="854" t="e">
        <f ca="1">_xll.BDP($D72,"REPO_FORWARD_price","REPO_TERM_DATE",L$56,$B$51:$B$53,$L$51:$L$53)</f>
        <v>#NAME?</v>
      </c>
      <c r="M72" s="1794"/>
    </row>
    <row r="73" spans="2:13" ht="14.25" customHeight="1">
      <c r="B73" s="797" t="s">
        <v>1405</v>
      </c>
      <c r="C73" s="589" t="s">
        <v>2047</v>
      </c>
      <c r="D73" s="25" t="s">
        <v>1447</v>
      </c>
      <c r="E73" s="622"/>
      <c r="F73" s="25" t="e">
        <f ca="1">_xll.BDP(D73,"SECURITY_DES")</f>
        <v>#NAME?</v>
      </c>
      <c r="G73" s="25"/>
      <c r="H73" s="391" t="e">
        <f ca="1">_xll.BDP(C73,H$60)</f>
        <v>#NAME?</v>
      </c>
      <c r="I73" s="856" t="e">
        <f ca="1">_xll.BDP($D73,"REPO_FORWARD_YLD","REPO_TERM_DATE",I$56,$B$51:$B$53,$I$51:$I$53)</f>
        <v>#NAME?</v>
      </c>
      <c r="J73" s="854" t="e">
        <f ca="1">_xll.BDP($D73,"REPO_FORWARD_PRICE","REPO_TERM_DATE",I$56,$B$51:$B$53,$I$51:$I$53)</f>
        <v>#NAME?</v>
      </c>
      <c r="K73" s="856" t="e">
        <f ca="1">_xll.BDP($D73,"REPO_FORWARD_YLD","REPO_TERM_DATE",L$54,$B$51:$B$53,$L$51:$L$53)</f>
        <v>#NAME?</v>
      </c>
      <c r="L73" s="854" t="e">
        <f ca="1">_xll.BDP($D73,"REPO_FORWARD_price","REPO_TERM_DATE",L$56,$B$51:$B$53,$L$51:$L$53)</f>
        <v>#NAME?</v>
      </c>
      <c r="M73" s="1794"/>
    </row>
    <row r="74" spans="2:13" ht="14.25" customHeight="1">
      <c r="B74" s="797" t="s">
        <v>863</v>
      </c>
      <c r="C74" s="589" t="s">
        <v>1448</v>
      </c>
      <c r="D74" s="25" t="s">
        <v>1448</v>
      </c>
      <c r="E74" s="589"/>
      <c r="F74" s="25" t="e">
        <f ca="1">_xll.BDP(D74,"SECURITY_DES")</f>
        <v>#NAME?</v>
      </c>
      <c r="G74" s="25"/>
      <c r="H74" s="860" t="e">
        <f ca="1">_xll.BDP(C74,H$60)</f>
        <v>#NAME?</v>
      </c>
      <c r="I74" s="856" t="e">
        <f ca="1">_xll.BDP($D74,"REPO_FORWARD_YLD","REPO_TERM_DATE",I$56,$B$51:$B$53,$I$51:$I$53)</f>
        <v>#NAME?</v>
      </c>
      <c r="J74" s="854" t="e">
        <f ca="1">_xll.BDP($D74,"REPO_FORWARD_PRICE","REPO_TERM_DATE",I$56,$B$51:$B$53,$I$51:$I$53)</f>
        <v>#NAME?</v>
      </c>
      <c r="K74" s="856" t="e">
        <f ca="1">_xll.BDP($D74,"REPO_FORWARD_YLD","REPO_TERM_DATE",L$54,$B$51:$B$53,$L$51:$L$53)</f>
        <v>#NAME?</v>
      </c>
      <c r="L74" s="854" t="e">
        <f ca="1">_xll.BDP($D74,"REPO_FORWARD_price","REPO_TERM_DATE",L$56,$B$51:$B$53,$L$51:$L$53)</f>
        <v>#NAME?</v>
      </c>
      <c r="M74" s="1794"/>
    </row>
    <row r="75" spans="2:13" ht="14.25" customHeight="1">
      <c r="B75" s="800"/>
      <c r="C75" s="589"/>
      <c r="D75" s="589"/>
      <c r="E75" s="589"/>
      <c r="F75" s="589"/>
      <c r="G75" s="589"/>
      <c r="H75" s="589"/>
      <c r="I75" s="589"/>
      <c r="J75" s="589"/>
      <c r="K75" s="589"/>
      <c r="L75" s="589"/>
      <c r="M75" s="1794"/>
    </row>
    <row r="76" spans="2:13" ht="14.25" customHeight="1">
      <c r="B76" s="800"/>
      <c r="C76" s="589"/>
      <c r="D76" s="589"/>
      <c r="E76" s="589"/>
      <c r="F76" s="1970" t="s">
        <v>1885</v>
      </c>
      <c r="G76" s="589"/>
      <c r="H76" s="589"/>
      <c r="I76" s="589"/>
      <c r="J76" s="589"/>
      <c r="K76" s="589"/>
      <c r="L76" s="590"/>
    </row>
    <row r="77" spans="2:13" ht="14.25" customHeight="1">
      <c r="B77" s="800"/>
      <c r="C77" s="589"/>
      <c r="D77" s="589"/>
      <c r="E77" s="589"/>
      <c r="F77" s="589"/>
      <c r="G77" s="1973" t="s">
        <v>1886</v>
      </c>
      <c r="H77" s="589"/>
      <c r="I77" s="589"/>
      <c r="J77" s="589"/>
      <c r="K77" s="589"/>
      <c r="L77" s="590"/>
    </row>
    <row r="78" spans="2:13" ht="14.25" customHeight="1">
      <c r="B78" s="800"/>
      <c r="C78" s="589"/>
      <c r="D78" s="589"/>
      <c r="E78" s="589"/>
      <c r="F78" s="589"/>
      <c r="G78" s="589"/>
      <c r="H78" s="589"/>
      <c r="I78" s="589"/>
      <c r="J78" s="589"/>
      <c r="K78" s="589"/>
      <c r="L78" s="590"/>
    </row>
    <row r="79" spans="2:13" ht="14.25" customHeight="1">
      <c r="B79" s="621"/>
      <c r="C79" s="699"/>
      <c r="D79" s="699"/>
      <c r="E79" s="699"/>
      <c r="F79" s="699"/>
      <c r="G79" s="699"/>
      <c r="H79" s="699"/>
      <c r="I79" s="699"/>
      <c r="J79" s="699"/>
      <c r="K79" s="699"/>
      <c r="L79" s="700"/>
    </row>
    <row r="110" spans="1:2" ht="14.25" customHeight="1">
      <c r="A110" s="1867"/>
      <c r="B110" s="1867"/>
    </row>
    <row r="111" spans="1:2" ht="14.25" customHeight="1">
      <c r="A111" s="1269"/>
      <c r="B111" s="1269"/>
    </row>
    <row r="112" spans="1:2" ht="14.25" customHeight="1">
      <c r="A112" s="1269"/>
      <c r="B112" s="1269"/>
    </row>
    <row r="113" spans="1:2" ht="14.25" customHeight="1">
      <c r="A113" s="1269"/>
      <c r="B113" s="1269"/>
    </row>
    <row r="114" spans="1:2" ht="14.25" customHeight="1">
      <c r="A114" s="1269"/>
      <c r="B114" s="1269"/>
    </row>
    <row r="155" spans="2:10" ht="14.25" customHeight="1">
      <c r="B155" s="1645"/>
      <c r="C155" s="1645"/>
      <c r="D155" s="1645"/>
      <c r="E155" s="1645"/>
      <c r="F155" s="1645"/>
      <c r="G155" s="1645"/>
      <c r="H155" s="1645"/>
      <c r="I155" s="1645"/>
      <c r="J155" s="1645"/>
    </row>
    <row r="156" spans="2:10" ht="14.25" customHeight="1">
      <c r="B156" s="1645"/>
      <c r="C156" s="1645"/>
      <c r="D156" s="1645"/>
      <c r="E156" s="1645"/>
      <c r="F156" s="1645"/>
      <c r="G156" s="1645"/>
      <c r="H156" s="1645"/>
      <c r="I156" s="1645"/>
      <c r="J156" s="1645"/>
    </row>
  </sheetData>
  <mergeCells count="2">
    <mergeCell ref="I50:L50"/>
    <mergeCell ref="I41:J41"/>
  </mergeCells>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FFFF00"/>
  </sheetPr>
  <dimension ref="A3:N149"/>
  <sheetViews>
    <sheetView zoomScale="90" zoomScaleNormal="90" workbookViewId="0"/>
  </sheetViews>
  <sheetFormatPr baseColWidth="10" defaultColWidth="9.140625" defaultRowHeight="14.25" customHeight="1"/>
  <cols>
    <col min="1" max="1" width="3.7109375" style="2199" customWidth="1"/>
    <col min="2" max="2" width="28.7109375" style="2199" customWidth="1"/>
    <col min="3" max="3" width="15.140625" style="2199" customWidth="1"/>
    <col min="4" max="4" width="16.28515625" style="2199" customWidth="1"/>
    <col min="5" max="5" width="13.7109375" style="2199" customWidth="1"/>
    <col min="6" max="6" width="14.5703125" style="2199" customWidth="1"/>
    <col min="7" max="7" width="22.140625" style="2199" customWidth="1"/>
    <col min="8" max="8" width="32.5703125" style="2199" customWidth="1"/>
    <col min="9" max="9" width="13.7109375" style="2199" customWidth="1"/>
    <col min="10" max="10" width="15.85546875" style="2199" customWidth="1"/>
    <col min="11" max="12" width="13.7109375" style="2199" customWidth="1"/>
    <col min="13" max="16" width="9.140625" style="2199"/>
    <col min="17" max="17" width="9" style="2199" customWidth="1"/>
    <col min="18" max="18" width="16.28515625" style="2199" bestFit="1" customWidth="1"/>
    <col min="19" max="19" width="23.28515625" style="2199" bestFit="1" customWidth="1"/>
    <col min="20" max="20" width="9.140625" style="2199"/>
    <col min="21" max="24" width="12.42578125" style="2199" customWidth="1"/>
    <col min="25" max="16384" width="9.140625" style="2199"/>
  </cols>
  <sheetData>
    <row r="3" spans="2:13" ht="15.75" customHeight="1"/>
    <row r="4" spans="2:13" ht="16.5" customHeight="1"/>
    <row r="5" spans="2:13" ht="22.5" customHeight="1">
      <c r="B5" s="2200" t="s">
        <v>2048</v>
      </c>
    </row>
    <row r="6" spans="2:13" ht="14.25" customHeight="1">
      <c r="C6" s="2201"/>
      <c r="D6" s="2201"/>
      <c r="E6" s="2202"/>
      <c r="F6" s="2202"/>
      <c r="G6" s="2203"/>
      <c r="H6" s="2203"/>
      <c r="I6" s="2203"/>
      <c r="J6" s="2203"/>
      <c r="K6" s="2204"/>
      <c r="L6" s="2203"/>
      <c r="M6" s="2203"/>
    </row>
    <row r="7" spans="2:13" ht="14.25" customHeight="1">
      <c r="B7" s="2205" t="s">
        <v>2059</v>
      </c>
      <c r="C7" s="2206"/>
      <c r="D7" s="2206"/>
      <c r="E7" s="2206"/>
      <c r="F7" s="2206"/>
      <c r="G7" s="2206"/>
      <c r="H7" s="2280" t="s">
        <v>2070</v>
      </c>
      <c r="I7" s="2203"/>
      <c r="J7" s="2203"/>
      <c r="K7" s="2204"/>
      <c r="L7" s="2203"/>
      <c r="M7" s="2203"/>
    </row>
    <row r="8" spans="2:13" ht="14.25" customHeight="1">
      <c r="B8" s="2208"/>
      <c r="C8" s="2209" t="s">
        <v>2049</v>
      </c>
      <c r="E8" s="2210"/>
      <c r="F8" s="2210"/>
      <c r="G8" s="2210"/>
      <c r="H8" s="2275"/>
      <c r="I8" s="2203"/>
      <c r="J8" s="2203"/>
      <c r="K8" s="2203"/>
      <c r="L8" s="2203"/>
      <c r="M8" s="2203"/>
    </row>
    <row r="9" spans="2:13" ht="14.25" customHeight="1">
      <c r="B9" s="2211"/>
      <c r="C9" s="2441" t="e">
        <f ca="1">_xll.BMatrix(B11:B13,"px last,px volume,pe ratio","securities=true","headers=true")</f>
        <v>#NAME?</v>
      </c>
      <c r="D9" s="2442"/>
      <c r="E9" s="2212"/>
      <c r="F9" s="2212"/>
      <c r="G9" s="2210"/>
      <c r="H9" s="2282" t="s">
        <v>2071</v>
      </c>
      <c r="I9" s="2203"/>
      <c r="J9" s="2203"/>
      <c r="K9" s="2203"/>
      <c r="L9" s="2203"/>
      <c r="M9" s="2203"/>
    </row>
    <row r="10" spans="2:13" ht="14.25" customHeight="1">
      <c r="B10" s="2211"/>
      <c r="C10" s="2209"/>
      <c r="D10" s="2213" t="s">
        <v>1029</v>
      </c>
      <c r="E10" s="2213" t="s">
        <v>2050</v>
      </c>
      <c r="F10" s="2213" t="s">
        <v>2051</v>
      </c>
      <c r="G10" s="2210"/>
      <c r="H10" s="2276"/>
      <c r="I10" s="2203"/>
      <c r="J10" s="2203"/>
      <c r="K10" s="2203"/>
      <c r="L10" s="2203"/>
      <c r="M10" s="2203"/>
    </row>
    <row r="11" spans="2:13" ht="14.25" customHeight="1">
      <c r="B11" s="2214" t="s">
        <v>423</v>
      </c>
      <c r="C11" s="2215" t="s">
        <v>1352</v>
      </c>
      <c r="D11" s="2216" t="s">
        <v>3453</v>
      </c>
      <c r="E11" s="2217" t="s">
        <v>3453</v>
      </c>
      <c r="F11" s="2218" t="s">
        <v>3453</v>
      </c>
      <c r="G11" s="2210"/>
      <c r="H11" s="2279" t="e">
        <f ca="1">_xll.BDP(B11,"security name")</f>
        <v>#NAME?</v>
      </c>
      <c r="I11" s="2203"/>
      <c r="J11" s="2203"/>
      <c r="K11" s="2203"/>
      <c r="L11" s="2203"/>
      <c r="M11" s="2203"/>
    </row>
    <row r="12" spans="2:13" ht="14.25" customHeight="1">
      <c r="B12" s="2219" t="s">
        <v>794</v>
      </c>
      <c r="C12" s="2215" t="s">
        <v>541</v>
      </c>
      <c r="D12" s="2216" t="s">
        <v>3453</v>
      </c>
      <c r="E12" s="2217" t="s">
        <v>3453</v>
      </c>
      <c r="F12" s="2218" t="s">
        <v>3453</v>
      </c>
      <c r="G12" s="2210"/>
      <c r="H12" s="2277" t="e">
        <f ca="1">_xll.BDP(B12,"security name")</f>
        <v>#NAME?</v>
      </c>
      <c r="I12" s="2203"/>
      <c r="J12" s="2220"/>
      <c r="K12" s="2203"/>
      <c r="L12" s="2203"/>
      <c r="M12" s="2203"/>
    </row>
    <row r="13" spans="2:13" ht="14.25" customHeight="1">
      <c r="B13" s="2214" t="s">
        <v>2060</v>
      </c>
      <c r="C13" s="2221" t="s">
        <v>2061</v>
      </c>
      <c r="D13" s="2222" t="s">
        <v>3453</v>
      </c>
      <c r="E13" s="2223" t="s">
        <v>3453</v>
      </c>
      <c r="F13" s="2224" t="s">
        <v>3453</v>
      </c>
      <c r="G13" s="2225"/>
      <c r="H13" s="2277" t="e">
        <f ca="1">_xll.BDP(B13,"security name")</f>
        <v>#NAME?</v>
      </c>
      <c r="I13" s="2203"/>
      <c r="J13" s="2203"/>
      <c r="K13" s="2203"/>
      <c r="L13" s="2203"/>
      <c r="M13" s="2203"/>
    </row>
    <row r="14" spans="2:13" ht="14.25" customHeight="1">
      <c r="B14" s="2208"/>
      <c r="C14" s="2226"/>
      <c r="D14" s="2216"/>
      <c r="E14" s="2226"/>
      <c r="F14" s="2224"/>
      <c r="G14" s="2210"/>
      <c r="H14" s="2275"/>
      <c r="I14" s="2203"/>
      <c r="J14" s="2203"/>
      <c r="K14" s="2203"/>
      <c r="L14" s="2203"/>
      <c r="M14" s="2227"/>
    </row>
    <row r="15" spans="2:13" ht="14.25" customHeight="1">
      <c r="B15" s="2228"/>
      <c r="C15" s="2229"/>
      <c r="D15" s="2229"/>
      <c r="E15" s="2229"/>
      <c r="F15" s="2229"/>
      <c r="G15" s="2229"/>
      <c r="H15" s="2278"/>
      <c r="I15" s="2203"/>
      <c r="J15" s="2203"/>
      <c r="K15" s="2203"/>
      <c r="L15" s="2203"/>
      <c r="M15" s="2203"/>
    </row>
    <row r="16" spans="2:13" ht="14.25" customHeight="1">
      <c r="B16" s="2201"/>
      <c r="D16" s="2201"/>
      <c r="E16" s="2203"/>
      <c r="F16" s="2230"/>
      <c r="G16" s="2203"/>
      <c r="H16" s="2203"/>
      <c r="I16" s="2203"/>
      <c r="J16" s="2203"/>
      <c r="K16" s="2203"/>
      <c r="L16" s="2203"/>
      <c r="M16" s="2203"/>
    </row>
    <row r="17" spans="2:13" ht="14.25" customHeight="1">
      <c r="B17" s="2231"/>
      <c r="C17" s="2232"/>
      <c r="D17" s="2201"/>
      <c r="E17" s="2203"/>
      <c r="F17" s="2230"/>
      <c r="G17" s="2203"/>
      <c r="H17" s="2203"/>
      <c r="I17" s="2203"/>
      <c r="J17" s="2203"/>
      <c r="K17" s="2203"/>
      <c r="L17" s="2203"/>
      <c r="M17" s="2203"/>
    </row>
    <row r="18" spans="2:13" ht="14.25" customHeight="1">
      <c r="B18" s="2274" t="s">
        <v>2066</v>
      </c>
      <c r="C18" s="2233"/>
      <c r="D18" s="2232"/>
      <c r="E18" s="2203"/>
      <c r="F18" s="2230"/>
      <c r="G18" s="2203"/>
      <c r="H18" s="2203"/>
      <c r="I18" s="2203"/>
      <c r="J18" s="2203"/>
      <c r="K18" s="2203"/>
      <c r="L18" s="2203"/>
      <c r="M18" s="2203"/>
    </row>
    <row r="19" spans="2:13" ht="14.25" customHeight="1">
      <c r="B19" s="2271" t="s">
        <v>2065</v>
      </c>
      <c r="C19" s="2206"/>
      <c r="D19" s="2206"/>
      <c r="E19" s="2206"/>
      <c r="F19" s="2206"/>
      <c r="G19" s="2206"/>
      <c r="H19" s="2207"/>
      <c r="I19" s="2203"/>
      <c r="J19" s="2203"/>
      <c r="K19" s="2232"/>
      <c r="L19" s="2203"/>
      <c r="M19" s="2203"/>
    </row>
    <row r="20" spans="2:13" ht="14.25" customHeight="1">
      <c r="B20" s="2211"/>
      <c r="C20" s="2234" t="s">
        <v>2052</v>
      </c>
      <c r="D20" s="2210"/>
      <c r="E20" s="2210"/>
      <c r="F20" s="2210"/>
      <c r="G20" s="2210"/>
      <c r="H20" s="2281" t="s">
        <v>2070</v>
      </c>
      <c r="I20" s="2203"/>
      <c r="J20" s="2203"/>
      <c r="K20" s="2232"/>
      <c r="L20" s="2203"/>
      <c r="M20" s="2203"/>
    </row>
    <row r="21" spans="2:13" ht="14.25" customHeight="1">
      <c r="B21" s="2235"/>
      <c r="C21" s="2236"/>
      <c r="D21" s="2237"/>
      <c r="E21" s="2238"/>
      <c r="F21" s="2239"/>
      <c r="G21" s="2210"/>
      <c r="H21" s="2282" t="s">
        <v>2069</v>
      </c>
      <c r="I21" s="2203"/>
      <c r="J21" s="2203"/>
      <c r="K21" s="2203"/>
      <c r="L21" s="2203"/>
      <c r="M21" s="2203"/>
    </row>
    <row r="22" spans="2:13" ht="14.25" customHeight="1">
      <c r="B22" s="2208"/>
      <c r="C22" s="2273" t="s">
        <v>2062</v>
      </c>
      <c r="D22" s="2237"/>
      <c r="E22" s="2238"/>
      <c r="F22" s="2239"/>
      <c r="G22" s="2210"/>
      <c r="H22" s="2276"/>
      <c r="I22" s="2203"/>
      <c r="J22" s="2203"/>
      <c r="K22" s="2203"/>
      <c r="L22" s="2203"/>
      <c r="M22" s="2203"/>
    </row>
    <row r="23" spans="2:13" ht="14.25" customHeight="1">
      <c r="B23" s="2235"/>
      <c r="C23" s="2240"/>
      <c r="D23" s="2237"/>
      <c r="E23" s="2238"/>
      <c r="F23" s="2239"/>
      <c r="G23" s="2210"/>
      <c r="H23" s="2276"/>
      <c r="I23" s="2203"/>
      <c r="J23" s="2203"/>
      <c r="K23" s="2203"/>
      <c r="L23" s="2203"/>
      <c r="M23" s="2203"/>
    </row>
    <row r="24" spans="2:13" ht="14.25" customHeight="1">
      <c r="B24" s="2272" t="s">
        <v>2068</v>
      </c>
      <c r="C24" s="2273" t="str">
        <f>_xll.BMatrix(B26:B28,"px last,px volume,pe ratio,time","headers=true","snapshot="&amp;B24)</f>
        <v>Snapshot: 10/25/2018 2:40:00 PM</v>
      </c>
      <c r="D24" s="2237"/>
      <c r="E24" s="2238"/>
      <c r="F24" s="2239"/>
      <c r="G24" s="2210"/>
      <c r="H24" s="2282" t="s">
        <v>2063</v>
      </c>
      <c r="I24" s="2203"/>
      <c r="J24" s="2203"/>
      <c r="K24" s="2203"/>
      <c r="L24" s="2203"/>
      <c r="M24" s="2203"/>
    </row>
    <row r="25" spans="2:13" ht="14.25" customHeight="1">
      <c r="B25" s="2235"/>
      <c r="C25" s="2241" t="s">
        <v>1029</v>
      </c>
      <c r="D25" s="2242" t="s">
        <v>2050</v>
      </c>
      <c r="E25" s="2242" t="s">
        <v>2051</v>
      </c>
      <c r="F25" s="2242" t="s">
        <v>2067</v>
      </c>
      <c r="G25" s="2210"/>
      <c r="H25" s="2275"/>
      <c r="I25" s="2203"/>
      <c r="J25" s="2203"/>
      <c r="K25" s="2203"/>
      <c r="L25" s="2203"/>
      <c r="M25" s="2203"/>
    </row>
    <row r="26" spans="2:13" ht="14.25" customHeight="1">
      <c r="B26" s="2214" t="s">
        <v>2064</v>
      </c>
      <c r="C26" s="2243">
        <v>609.4</v>
      </c>
      <c r="D26" s="2217">
        <v>21517407</v>
      </c>
      <c r="E26" s="2218">
        <v>15.459909854391007</v>
      </c>
      <c r="F26" s="2244">
        <v>0.48500000000000004</v>
      </c>
      <c r="G26" s="2210"/>
      <c r="H26" s="2279" t="e">
        <f ca="1">_xll.BDP(B26,"security name")</f>
        <v>#NAME?</v>
      </c>
      <c r="I26" s="2203"/>
      <c r="J26" s="2203"/>
      <c r="K26" s="2203"/>
      <c r="L26" s="2203"/>
      <c r="M26" s="2203"/>
    </row>
    <row r="27" spans="2:13" ht="14.25" customHeight="1">
      <c r="B27" s="2219" t="s">
        <v>794</v>
      </c>
      <c r="C27" s="2245">
        <v>101.08</v>
      </c>
      <c r="D27" s="2217">
        <v>2812299</v>
      </c>
      <c r="E27" s="2218">
        <v>12.892857376410037</v>
      </c>
      <c r="F27" s="2246">
        <v>0.59723379629629625</v>
      </c>
      <c r="G27" s="2213"/>
      <c r="H27" s="2277" t="e">
        <f ca="1">_xll.BDP(B27,"security name")</f>
        <v>#NAME?</v>
      </c>
      <c r="I27" s="2203"/>
      <c r="J27" s="2203"/>
      <c r="K27" s="2203"/>
      <c r="L27" s="2203"/>
      <c r="M27" s="2203"/>
    </row>
    <row r="28" spans="2:13" ht="14.25" customHeight="1">
      <c r="B28" s="2214" t="s">
        <v>2060</v>
      </c>
      <c r="C28" s="2247">
        <v>66.7</v>
      </c>
      <c r="D28" s="2217">
        <v>6285161</v>
      </c>
      <c r="E28" s="2218">
        <v>18.991082419221264</v>
      </c>
      <c r="F28" s="2244">
        <v>0.5995949074074074</v>
      </c>
      <c r="G28" s="2213"/>
      <c r="H28" s="2277" t="e">
        <f ca="1">_xll.BDP(B28,"security name")</f>
        <v>#NAME?</v>
      </c>
      <c r="I28" s="2203"/>
      <c r="J28" s="2283"/>
      <c r="K28" s="2203"/>
      <c r="L28" s="2203"/>
      <c r="M28" s="2203"/>
    </row>
    <row r="29" spans="2:13" ht="14.25" customHeight="1">
      <c r="B29" s="2208"/>
      <c r="C29" s="2216"/>
      <c r="D29" s="2217"/>
      <c r="E29" s="2218"/>
      <c r="F29" s="2248"/>
      <c r="G29" s="2213"/>
      <c r="H29" s="2279"/>
      <c r="I29" s="2203"/>
      <c r="J29" s="2203"/>
      <c r="K29" s="2203"/>
      <c r="L29" s="2203"/>
      <c r="M29" s="2203"/>
    </row>
    <row r="30" spans="2:13" ht="14.25" customHeight="1">
      <c r="B30" s="2228"/>
      <c r="C30" s="2229"/>
      <c r="D30" s="2229"/>
      <c r="E30" s="2229"/>
      <c r="F30" s="2249"/>
      <c r="G30" s="2229"/>
      <c r="H30" s="2278"/>
      <c r="I30" s="2203"/>
      <c r="J30" s="2203"/>
      <c r="K30" s="2203"/>
      <c r="L30" s="2203"/>
      <c r="M30" s="2203"/>
    </row>
    <row r="31" spans="2:13" ht="14.25" customHeight="1">
      <c r="B31" s="2201"/>
      <c r="C31" s="2203"/>
      <c r="D31" s="2203"/>
      <c r="E31" s="2203"/>
      <c r="F31" s="2203"/>
      <c r="G31" s="2203"/>
      <c r="H31" s="2203"/>
      <c r="I31" s="2203"/>
      <c r="J31" s="2203"/>
      <c r="K31" s="2203"/>
      <c r="L31" s="2203"/>
      <c r="M31" s="2203"/>
    </row>
    <row r="32" spans="2:13" ht="26.25">
      <c r="B32" s="2250"/>
      <c r="C32" s="2251"/>
      <c r="D32" s="2252"/>
      <c r="E32" s="2252"/>
      <c r="F32" s="2252"/>
      <c r="G32" s="2252"/>
      <c r="H32" s="2203"/>
      <c r="I32" s="2253"/>
      <c r="J32" s="2253"/>
      <c r="K32" s="2253"/>
      <c r="L32" s="2203"/>
      <c r="M32" s="2203"/>
    </row>
    <row r="33" spans="2:13" ht="14.25" customHeight="1">
      <c r="B33" s="2254"/>
      <c r="C33" s="2251"/>
      <c r="D33" s="2203"/>
      <c r="E33" s="2252"/>
      <c r="F33" s="2252"/>
      <c r="G33" s="2252"/>
      <c r="H33" s="2203"/>
      <c r="I33" s="2203"/>
      <c r="J33" s="2203"/>
      <c r="K33" s="2203"/>
      <c r="L33" s="2203"/>
      <c r="M33" s="2203"/>
    </row>
    <row r="34" spans="2:13" ht="14.25" customHeight="1">
      <c r="B34" s="2203"/>
      <c r="C34" s="2251"/>
      <c r="D34" s="2252"/>
      <c r="E34" s="2252"/>
      <c r="F34" s="2252"/>
      <c r="G34" s="2252"/>
      <c r="H34" s="2203"/>
      <c r="I34" s="2443"/>
      <c r="J34" s="2443"/>
      <c r="K34" s="2253"/>
      <c r="L34" s="2203"/>
      <c r="M34" s="2203"/>
    </row>
    <row r="35" spans="2:13" ht="14.25" customHeight="1">
      <c r="B35" s="2254"/>
      <c r="C35" s="2251"/>
      <c r="D35" s="2252"/>
      <c r="E35" s="2252"/>
      <c r="F35" s="2252"/>
      <c r="G35" s="2252"/>
      <c r="H35" s="2203"/>
      <c r="I35" s="2203"/>
      <c r="J35" s="2255"/>
      <c r="K35" s="2203"/>
      <c r="L35" s="2203"/>
      <c r="M35" s="2203"/>
    </row>
    <row r="36" spans="2:13" ht="14.25" customHeight="1">
      <c r="B36" s="2256"/>
      <c r="C36" s="2251"/>
      <c r="D36" s="2252"/>
      <c r="E36" s="2252"/>
      <c r="F36" s="2252"/>
      <c r="G36" s="2252"/>
      <c r="H36" s="2203"/>
      <c r="I36" s="2203"/>
      <c r="J36" s="2257"/>
      <c r="K36" s="2203"/>
      <c r="L36" s="2203"/>
      <c r="M36" s="2203"/>
    </row>
    <row r="37" spans="2:13" ht="14.25" customHeight="1">
      <c r="B37" s="2203"/>
      <c r="C37" s="2253"/>
      <c r="D37" s="2203"/>
      <c r="E37" s="2203"/>
      <c r="F37" s="2203"/>
      <c r="G37" s="2203"/>
      <c r="H37" s="2203"/>
      <c r="I37" s="2203"/>
      <c r="J37" s="2203"/>
      <c r="K37" s="2203"/>
      <c r="L37" s="2203"/>
      <c r="M37" s="2203"/>
    </row>
    <row r="38" spans="2:13" ht="14.25" customHeight="1">
      <c r="B38" s="2203"/>
      <c r="C38" s="2203"/>
      <c r="D38" s="2203"/>
      <c r="E38" s="2203"/>
      <c r="F38" s="2203"/>
      <c r="G38" s="2203"/>
      <c r="H38" s="2203"/>
      <c r="I38" s="2203"/>
      <c r="J38" s="2203"/>
      <c r="K38" s="2203"/>
      <c r="L38" s="2203"/>
      <c r="M38" s="2203"/>
    </row>
    <row r="39" spans="2:13" ht="14.25" customHeight="1">
      <c r="B39" s="2203"/>
      <c r="C39" s="2203"/>
      <c r="D39" s="2203"/>
      <c r="E39" s="2203"/>
      <c r="F39" s="2203"/>
      <c r="G39" s="2203"/>
      <c r="H39" s="2203"/>
      <c r="I39" s="2203"/>
      <c r="J39" s="2203"/>
      <c r="K39" s="2203"/>
      <c r="L39" s="2203"/>
      <c r="M39" s="2203"/>
    </row>
    <row r="40" spans="2:13" ht="14.25" customHeight="1">
      <c r="B40" s="2203"/>
      <c r="C40" s="2258"/>
      <c r="D40" s="2258"/>
      <c r="E40" s="2258"/>
      <c r="F40" s="2258"/>
      <c r="G40" s="2258"/>
      <c r="H40" s="2258"/>
      <c r="I40" s="2258"/>
      <c r="J40" s="2258"/>
      <c r="K40" s="2203"/>
      <c r="L40" s="2203"/>
      <c r="M40" s="2203"/>
    </row>
    <row r="41" spans="2:13" ht="14.25" customHeight="1">
      <c r="B41" s="2203"/>
      <c r="C41" s="2203"/>
      <c r="D41" s="2203"/>
      <c r="E41" s="2258"/>
      <c r="F41" s="2258"/>
      <c r="G41" s="2258"/>
      <c r="H41" s="2258"/>
      <c r="I41" s="2258"/>
      <c r="J41" s="2258"/>
      <c r="K41" s="2258"/>
      <c r="L41" s="2258"/>
      <c r="M41" s="2203"/>
    </row>
    <row r="42" spans="2:13" ht="14.25" customHeight="1">
      <c r="B42" s="2258"/>
      <c r="C42" s="2203"/>
      <c r="D42" s="2203"/>
      <c r="E42" s="2258"/>
      <c r="F42" s="2203"/>
      <c r="G42" s="2258"/>
      <c r="H42" s="2203"/>
      <c r="I42" s="2203"/>
      <c r="J42" s="2203"/>
      <c r="K42" s="2203"/>
      <c r="L42" s="2203"/>
      <c r="M42" s="2203"/>
    </row>
    <row r="43" spans="2:13" ht="14.25" customHeight="1">
      <c r="B43" s="2258"/>
      <c r="C43" s="2203"/>
      <c r="D43" s="2203"/>
      <c r="E43" s="2258"/>
      <c r="F43" s="2203"/>
      <c r="G43" s="2258"/>
      <c r="H43" s="2203"/>
      <c r="I43" s="2444"/>
      <c r="J43" s="2444"/>
      <c r="K43" s="2444"/>
      <c r="L43" s="2444"/>
      <c r="M43" s="2203"/>
    </row>
    <row r="44" spans="2:13" ht="14.25" customHeight="1">
      <c r="B44" s="2258"/>
      <c r="C44" s="2203"/>
      <c r="D44" s="2203"/>
      <c r="E44" s="2258"/>
      <c r="F44" s="2258"/>
      <c r="G44" s="2258"/>
      <c r="H44" s="2203"/>
      <c r="I44" s="2259"/>
      <c r="J44" s="2259"/>
      <c r="K44" s="2203"/>
      <c r="L44" s="2259"/>
      <c r="M44" s="2203"/>
    </row>
    <row r="45" spans="2:13" ht="14.25" customHeight="1">
      <c r="B45" s="2258"/>
      <c r="C45" s="2203"/>
      <c r="D45" s="2203"/>
      <c r="E45" s="2258"/>
      <c r="F45" s="2258"/>
      <c r="G45" s="2258"/>
      <c r="H45" s="2203"/>
      <c r="I45" s="2258"/>
      <c r="J45" s="2258"/>
      <c r="K45" s="2203"/>
      <c r="L45" s="2258"/>
      <c r="M45" s="2203"/>
    </row>
    <row r="46" spans="2:13" ht="14.25" customHeight="1">
      <c r="B46" s="2258"/>
      <c r="C46" s="2203"/>
      <c r="D46" s="2203"/>
      <c r="E46" s="2258"/>
      <c r="F46" s="2203"/>
      <c r="G46" s="2260"/>
      <c r="H46" s="2203"/>
      <c r="I46" s="2260"/>
      <c r="J46" s="2260"/>
      <c r="K46" s="2203"/>
      <c r="L46" s="2260"/>
      <c r="M46" s="2203"/>
    </row>
    <row r="47" spans="2:13" ht="14.25" customHeight="1">
      <c r="B47" s="2203"/>
      <c r="C47" s="2203"/>
      <c r="D47" s="2203"/>
      <c r="E47" s="2258"/>
      <c r="F47" s="2258"/>
      <c r="G47" s="2258"/>
      <c r="H47" s="2203"/>
      <c r="I47" s="2261"/>
      <c r="J47" s="2261"/>
      <c r="K47" s="2203"/>
      <c r="L47" s="2261"/>
      <c r="M47" s="2203"/>
    </row>
    <row r="48" spans="2:13" ht="14.25" customHeight="1">
      <c r="B48" s="2258"/>
      <c r="C48" s="2203"/>
      <c r="D48" s="2203"/>
      <c r="E48" s="2258"/>
      <c r="F48" s="2203"/>
      <c r="G48" s="2258"/>
      <c r="H48" s="2203"/>
      <c r="I48" s="2258"/>
      <c r="J48" s="2258"/>
      <c r="K48" s="2203"/>
      <c r="L48" s="2258"/>
      <c r="M48" s="2203"/>
    </row>
    <row r="49" spans="2:14" ht="14.25" customHeight="1">
      <c r="B49" s="2258"/>
      <c r="C49" s="2203"/>
      <c r="D49" s="2203"/>
      <c r="E49" s="2258"/>
      <c r="F49" s="2203"/>
      <c r="G49" s="2258"/>
      <c r="H49" s="2203"/>
      <c r="I49" s="2260"/>
      <c r="J49" s="2260"/>
      <c r="K49" s="2203"/>
      <c r="L49" s="2260"/>
      <c r="M49" s="2203"/>
    </row>
    <row r="50" spans="2:14" ht="14.25" customHeight="1">
      <c r="B50" s="2260"/>
      <c r="C50" s="2203"/>
      <c r="D50" s="2203"/>
      <c r="E50" s="2258"/>
      <c r="F50" s="2258"/>
      <c r="G50" s="2258"/>
      <c r="H50" s="2260"/>
      <c r="I50" s="2260"/>
      <c r="J50" s="2260"/>
      <c r="K50" s="2260"/>
      <c r="L50" s="2203"/>
      <c r="M50" s="2203"/>
    </row>
    <row r="51" spans="2:14" ht="14.25" customHeight="1">
      <c r="B51" s="2203"/>
      <c r="C51" s="2203"/>
      <c r="D51" s="2203"/>
      <c r="E51" s="2258"/>
      <c r="F51" s="2258"/>
      <c r="G51" s="2258"/>
      <c r="H51" s="2203"/>
      <c r="I51" s="2258"/>
      <c r="J51" s="2258"/>
      <c r="K51" s="2258"/>
      <c r="L51" s="2258"/>
      <c r="M51" s="2203"/>
    </row>
    <row r="52" spans="2:14" ht="14.25" customHeight="1">
      <c r="B52" s="2203"/>
      <c r="C52" s="2203"/>
      <c r="D52" s="2203"/>
      <c r="E52" s="2203"/>
      <c r="F52" s="2203"/>
      <c r="G52" s="2203"/>
      <c r="H52" s="2258"/>
      <c r="I52" s="2203"/>
      <c r="J52" s="2203"/>
      <c r="K52" s="2203"/>
      <c r="L52" s="2203"/>
      <c r="M52" s="2203"/>
    </row>
    <row r="53" spans="2:14" ht="14.25" customHeight="1">
      <c r="B53" s="2258"/>
      <c r="C53" s="2203"/>
      <c r="D53" s="2258"/>
      <c r="E53" s="2203"/>
      <c r="F53" s="2258"/>
      <c r="G53" s="2258"/>
      <c r="H53" s="2203"/>
      <c r="I53" s="1123"/>
      <c r="J53" s="1123"/>
      <c r="K53" s="2258"/>
      <c r="L53" s="1123"/>
      <c r="M53" s="2203"/>
    </row>
    <row r="54" spans="2:14" ht="14.25" customHeight="1">
      <c r="B54" s="2258"/>
      <c r="C54" s="2203"/>
      <c r="D54" s="2258"/>
      <c r="E54" s="2203"/>
      <c r="F54" s="2258"/>
      <c r="G54" s="2258"/>
      <c r="H54" s="2262"/>
      <c r="I54" s="2263"/>
      <c r="J54" s="2264"/>
      <c r="K54" s="2265"/>
      <c r="L54" s="2265"/>
      <c r="M54" s="2203"/>
      <c r="N54" s="2265"/>
    </row>
    <row r="55" spans="2:14" ht="14.25" customHeight="1">
      <c r="B55" s="2258"/>
      <c r="C55" s="2203"/>
      <c r="D55" s="2258"/>
      <c r="E55" s="2203"/>
      <c r="F55" s="2258"/>
      <c r="G55" s="2258"/>
      <c r="H55" s="2262"/>
      <c r="I55" s="2265"/>
      <c r="J55" s="2265"/>
      <c r="K55" s="2265"/>
      <c r="L55" s="2265"/>
      <c r="M55" s="2203"/>
    </row>
    <row r="56" spans="2:14" ht="14.25" customHeight="1">
      <c r="B56" s="2258"/>
      <c r="C56" s="2203"/>
      <c r="D56" s="2258"/>
      <c r="E56" s="2203"/>
      <c r="F56" s="2258"/>
      <c r="G56" s="2258"/>
      <c r="H56" s="2262"/>
      <c r="I56" s="2265"/>
      <c r="J56" s="2265"/>
      <c r="K56" s="2265"/>
      <c r="L56" s="2265"/>
      <c r="M56" s="2203"/>
    </row>
    <row r="57" spans="2:14" ht="14.25" customHeight="1">
      <c r="B57" s="2258"/>
      <c r="C57" s="2203"/>
      <c r="D57" s="2258"/>
      <c r="E57" s="2203"/>
      <c r="F57" s="2258"/>
      <c r="G57" s="2258"/>
      <c r="H57" s="2262"/>
      <c r="I57" s="2265"/>
      <c r="J57" s="2265"/>
      <c r="K57" s="2265"/>
      <c r="L57" s="2265"/>
      <c r="M57" s="2203"/>
    </row>
    <row r="58" spans="2:14" ht="14.25" customHeight="1">
      <c r="B58" s="2258"/>
      <c r="C58" s="2203"/>
      <c r="D58" s="2260"/>
      <c r="E58" s="2203"/>
      <c r="F58" s="2258"/>
      <c r="G58" s="2258"/>
      <c r="H58" s="2262"/>
      <c r="I58" s="2265"/>
      <c r="J58" s="2265"/>
      <c r="K58" s="2265"/>
      <c r="L58" s="2265"/>
      <c r="M58" s="2203"/>
    </row>
    <row r="59" spans="2:14" ht="14.25" customHeight="1">
      <c r="B59" s="2258"/>
      <c r="C59" s="2203"/>
      <c r="D59" s="2258"/>
      <c r="E59" s="2203"/>
      <c r="F59" s="2258"/>
      <c r="G59" s="2258"/>
      <c r="H59" s="2262"/>
      <c r="I59" s="2265"/>
      <c r="J59" s="2265"/>
      <c r="K59" s="2265"/>
      <c r="L59" s="2265"/>
      <c r="M59" s="2203"/>
    </row>
    <row r="60" spans="2:14" ht="14.25" customHeight="1">
      <c r="B60" s="2258"/>
      <c r="C60" s="2203"/>
      <c r="D60" s="2258"/>
      <c r="E60" s="2203"/>
      <c r="F60" s="2258"/>
      <c r="G60" s="2258"/>
      <c r="H60" s="2262"/>
      <c r="I60" s="2265"/>
      <c r="J60" s="2265"/>
      <c r="K60" s="2265"/>
      <c r="L60" s="2265"/>
      <c r="M60" s="2203"/>
    </row>
    <row r="61" spans="2:14" ht="14.25" customHeight="1">
      <c r="B61" s="2258"/>
      <c r="C61" s="2203"/>
      <c r="D61" s="2258"/>
      <c r="E61" s="2203"/>
      <c r="F61" s="2258"/>
      <c r="G61" s="2258"/>
      <c r="H61" s="2262"/>
      <c r="I61" s="2265"/>
      <c r="J61" s="2265"/>
      <c r="K61" s="2265"/>
      <c r="L61" s="2265"/>
      <c r="M61" s="2203"/>
    </row>
    <row r="62" spans="2:14" ht="14.25" customHeight="1">
      <c r="B62" s="2258"/>
      <c r="C62" s="2203"/>
      <c r="D62" s="2258"/>
      <c r="E62" s="2203"/>
      <c r="F62" s="2258"/>
      <c r="G62" s="2258"/>
      <c r="H62" s="2262"/>
      <c r="I62" s="2265"/>
      <c r="J62" s="2265"/>
      <c r="K62" s="2265"/>
      <c r="L62" s="2265"/>
      <c r="M62" s="2203"/>
    </row>
    <row r="63" spans="2:14" ht="14.25" customHeight="1">
      <c r="B63" s="2258"/>
      <c r="C63" s="2203"/>
      <c r="D63" s="2258"/>
      <c r="E63" s="2203"/>
      <c r="F63" s="2258"/>
      <c r="G63" s="2258"/>
      <c r="H63" s="2262"/>
      <c r="I63" s="2265"/>
      <c r="J63" s="2265"/>
      <c r="K63" s="2265"/>
      <c r="L63" s="2265"/>
      <c r="M63" s="2203"/>
    </row>
    <row r="64" spans="2:14" ht="14.25" customHeight="1">
      <c r="B64" s="2258"/>
      <c r="C64" s="2203"/>
      <c r="D64" s="2258"/>
      <c r="E64" s="2203"/>
      <c r="F64" s="2258"/>
      <c r="G64" s="2258"/>
      <c r="H64" s="2262"/>
      <c r="I64" s="2265"/>
      <c r="J64" s="2265"/>
      <c r="K64" s="2265"/>
      <c r="L64" s="2265"/>
      <c r="M64" s="2203"/>
    </row>
    <row r="65" spans="2:13" ht="14.25" customHeight="1">
      <c r="B65" s="2258"/>
      <c r="C65" s="2203"/>
      <c r="D65" s="2258"/>
      <c r="E65" s="2203"/>
      <c r="F65" s="2258"/>
      <c r="G65" s="2258"/>
      <c r="H65" s="2262"/>
      <c r="I65" s="2265"/>
      <c r="J65" s="2265"/>
      <c r="K65" s="2265"/>
      <c r="L65" s="2265"/>
      <c r="M65" s="2203"/>
    </row>
    <row r="66" spans="2:13" ht="14.25" customHeight="1">
      <c r="B66" s="2258"/>
      <c r="C66" s="2203"/>
      <c r="D66" s="2258"/>
      <c r="E66" s="2203"/>
      <c r="F66" s="2258"/>
      <c r="G66" s="2258"/>
      <c r="H66" s="2262"/>
      <c r="I66" s="2265"/>
      <c r="J66" s="2265"/>
      <c r="K66" s="2265"/>
      <c r="L66" s="2265"/>
      <c r="M66" s="2203"/>
    </row>
    <row r="67" spans="2:13" ht="14.25" customHeight="1">
      <c r="B67" s="2258"/>
      <c r="C67" s="2203"/>
      <c r="D67" s="2258"/>
      <c r="E67" s="2203"/>
      <c r="F67" s="2258"/>
      <c r="G67" s="2258"/>
      <c r="H67" s="2262"/>
      <c r="I67" s="2265"/>
      <c r="J67" s="2265"/>
      <c r="K67" s="2265"/>
      <c r="L67" s="2265"/>
      <c r="M67" s="2203"/>
    </row>
    <row r="68" spans="2:13" ht="14.25" customHeight="1">
      <c r="B68" s="2203"/>
      <c r="C68" s="2203"/>
      <c r="D68" s="2203"/>
      <c r="E68" s="2203"/>
      <c r="F68" s="2203"/>
      <c r="G68" s="2203"/>
      <c r="H68" s="2203"/>
      <c r="I68" s="2203"/>
      <c r="J68" s="2203"/>
      <c r="K68" s="2203"/>
      <c r="L68" s="2203"/>
      <c r="M68" s="2203"/>
    </row>
    <row r="69" spans="2:13" ht="14.25" customHeight="1">
      <c r="B69" s="2203"/>
      <c r="C69" s="2203"/>
      <c r="D69" s="2203"/>
      <c r="E69" s="2203"/>
      <c r="F69" s="2266"/>
      <c r="G69" s="2203"/>
      <c r="H69" s="2203"/>
      <c r="I69" s="2203"/>
      <c r="J69" s="2203"/>
      <c r="K69" s="2203"/>
      <c r="L69" s="2203"/>
      <c r="M69" s="2203"/>
    </row>
    <row r="70" spans="2:13" ht="14.25" customHeight="1">
      <c r="B70" s="2203"/>
      <c r="C70" s="2203"/>
      <c r="D70" s="2203"/>
      <c r="E70" s="2203"/>
      <c r="F70" s="2203"/>
      <c r="G70" s="2267"/>
      <c r="H70" s="2203"/>
      <c r="I70" s="2203"/>
      <c r="J70" s="2203"/>
      <c r="K70" s="2203"/>
      <c r="L70" s="2203"/>
      <c r="M70" s="2203"/>
    </row>
    <row r="71" spans="2:13" ht="14.25" customHeight="1">
      <c r="B71" s="2203"/>
      <c r="C71" s="2203"/>
      <c r="D71" s="2203"/>
      <c r="E71" s="2203"/>
      <c r="F71" s="2203"/>
      <c r="G71" s="2203"/>
      <c r="H71" s="2203"/>
      <c r="I71" s="2203"/>
      <c r="J71" s="2203"/>
      <c r="K71" s="2203"/>
      <c r="L71" s="2203"/>
      <c r="M71" s="2203"/>
    </row>
    <row r="72" spans="2:13" ht="14.25" customHeight="1">
      <c r="B72" s="2203"/>
      <c r="C72" s="2203"/>
      <c r="D72" s="2203"/>
      <c r="E72" s="2203"/>
      <c r="F72" s="2203"/>
      <c r="G72" s="2203"/>
      <c r="H72" s="2203"/>
      <c r="I72" s="2203"/>
      <c r="J72" s="2203"/>
      <c r="K72" s="2203"/>
      <c r="L72" s="2203"/>
      <c r="M72" s="2203"/>
    </row>
    <row r="73" spans="2:13" ht="14.25" customHeight="1">
      <c r="B73" s="2203"/>
      <c r="C73" s="2203"/>
      <c r="D73" s="2203"/>
      <c r="E73" s="2203"/>
      <c r="F73" s="2203"/>
      <c r="G73" s="2203"/>
      <c r="H73" s="2203"/>
      <c r="I73" s="2203"/>
      <c r="J73" s="2203"/>
      <c r="K73" s="2203"/>
      <c r="L73" s="2203"/>
      <c r="M73" s="2203"/>
    </row>
    <row r="74" spans="2:13" ht="14.25" customHeight="1">
      <c r="B74" s="2203"/>
      <c r="C74" s="2203"/>
      <c r="D74" s="2203"/>
      <c r="E74" s="2203"/>
      <c r="F74" s="2203"/>
      <c r="G74" s="2203"/>
      <c r="H74" s="2203"/>
      <c r="I74" s="2203"/>
      <c r="J74" s="2203"/>
      <c r="K74" s="2203"/>
      <c r="L74" s="2203"/>
      <c r="M74" s="2203"/>
    </row>
    <row r="103" spans="1:2" ht="14.25" customHeight="1">
      <c r="A103" s="2268"/>
      <c r="B103" s="2268"/>
    </row>
    <row r="104" spans="1:2" ht="14.25" customHeight="1">
      <c r="A104" s="2269"/>
      <c r="B104" s="2269"/>
    </row>
    <row r="105" spans="1:2" ht="14.25" customHeight="1">
      <c r="A105" s="2269"/>
      <c r="B105" s="2269"/>
    </row>
    <row r="106" spans="1:2" ht="14.25" customHeight="1">
      <c r="A106" s="2269"/>
      <c r="B106" s="2269"/>
    </row>
    <row r="107" spans="1:2" ht="14.25" customHeight="1">
      <c r="A107" s="2269"/>
      <c r="B107" s="2269"/>
    </row>
    <row r="148" spans="2:10" ht="14.25" customHeight="1">
      <c r="B148" s="2270"/>
      <c r="C148" s="2270"/>
      <c r="D148" s="2270"/>
      <c r="E148" s="2270"/>
      <c r="F148" s="2270"/>
      <c r="G148" s="2270"/>
      <c r="H148" s="2270"/>
      <c r="I148" s="2270"/>
      <c r="J148" s="2270"/>
    </row>
    <row r="149" spans="2:10" ht="14.25" customHeight="1">
      <c r="B149" s="2270"/>
      <c r="C149" s="2270"/>
      <c r="D149" s="2270"/>
      <c r="E149" s="2270"/>
      <c r="F149" s="2270"/>
      <c r="G149" s="2270"/>
      <c r="H149" s="2270"/>
      <c r="I149" s="2270"/>
      <c r="J149" s="2270"/>
    </row>
  </sheetData>
  <mergeCells count="3">
    <mergeCell ref="C9:D9"/>
    <mergeCell ref="I34:J34"/>
    <mergeCell ref="I43:L43"/>
  </mergeCell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FFFF00"/>
  </sheetPr>
  <dimension ref="B4:C11"/>
  <sheetViews>
    <sheetView zoomScale="90" zoomScaleNormal="90" workbookViewId="0"/>
  </sheetViews>
  <sheetFormatPr baseColWidth="10" defaultColWidth="9.140625" defaultRowHeight="15"/>
  <cols>
    <col min="1" max="1" width="3.7109375" style="1117" customWidth="1"/>
    <col min="2" max="16384" width="9.140625" style="1117"/>
  </cols>
  <sheetData>
    <row r="4" spans="2:3">
      <c r="B4" s="1117" t="s">
        <v>1822</v>
      </c>
      <c r="C4" s="1523" t="s">
        <v>1825</v>
      </c>
    </row>
    <row r="5" spans="2:3">
      <c r="B5" s="1117" t="s">
        <v>1823</v>
      </c>
      <c r="C5" s="1117" t="s">
        <v>1826</v>
      </c>
    </row>
    <row r="7" spans="2:3" ht="18.75">
      <c r="B7" s="1117" t="s">
        <v>1824</v>
      </c>
    </row>
    <row r="8" spans="2:3" s="1522" customFormat="1" ht="15.75">
      <c r="B8" s="1524" t="s">
        <v>1827</v>
      </c>
    </row>
    <row r="11" spans="2:3">
      <c r="B11" s="1117" t="s">
        <v>1828</v>
      </c>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FFFF00"/>
  </sheetPr>
  <dimension ref="A2:S3"/>
  <sheetViews>
    <sheetView zoomScale="90" zoomScaleNormal="90" workbookViewId="0"/>
  </sheetViews>
  <sheetFormatPr baseColWidth="10" defaultColWidth="9.140625" defaultRowHeight="15"/>
  <cols>
    <col min="1" max="1" width="3.7109375" style="1117" customWidth="1"/>
    <col min="2" max="16384" width="9.140625" style="1396"/>
  </cols>
  <sheetData>
    <row r="2" spans="2:19" s="1395" customFormat="1" ht="18.75"/>
    <row r="3" spans="2:19" s="1395" customFormat="1" ht="21">
      <c r="B3" s="1565" t="s">
        <v>1821</v>
      </c>
      <c r="S3" s="1565" t="s">
        <v>1743</v>
      </c>
    </row>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theme="0" tint="-0.249977111117893"/>
  </sheetPr>
  <dimension ref="A1:H37"/>
  <sheetViews>
    <sheetView zoomScale="90" zoomScaleNormal="90" workbookViewId="0"/>
  </sheetViews>
  <sheetFormatPr baseColWidth="10" defaultColWidth="9.140625" defaultRowHeight="15"/>
  <cols>
    <col min="1" max="1" width="3.7109375" style="1269" customWidth="1"/>
    <col min="2" max="16384" width="9.140625" style="1269"/>
  </cols>
  <sheetData>
    <row r="1" spans="1:2" ht="17.25" customHeight="1">
      <c r="A1" s="1154"/>
    </row>
    <row r="4" spans="1:2" ht="21">
      <c r="B4" s="1158" t="s">
        <v>869</v>
      </c>
    </row>
    <row r="5" spans="1:2" ht="17.25">
      <c r="B5" s="1525" t="s">
        <v>1854</v>
      </c>
    </row>
    <row r="7" spans="1:2" ht="17.25">
      <c r="B7" s="1525" t="s">
        <v>1855</v>
      </c>
    </row>
    <row r="36" spans="5:8">
      <c r="H36" s="1397"/>
    </row>
    <row r="37" spans="5:8">
      <c r="E37" s="1397" t="s">
        <v>1856</v>
      </c>
    </row>
  </sheetData>
  <phoneticPr fontId="0"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39</vt:i4>
      </vt:variant>
      <vt:variant>
        <vt:lpstr>Benannte Bereiche</vt:lpstr>
      </vt:variant>
      <vt:variant>
        <vt:i4>1</vt:i4>
      </vt:variant>
    </vt:vector>
  </HeadingPairs>
  <TitlesOfParts>
    <vt:vector size="40" baseType="lpstr">
      <vt:lpstr>Content</vt:lpstr>
      <vt:lpstr>Formula Description</vt:lpstr>
      <vt:lpstr>Getting Started &amp; Templates</vt:lpstr>
      <vt:lpstr>Live Help &amp; Help pages</vt:lpstr>
      <vt:lpstr>Finding Tickers &amp; Fields</vt:lpstr>
      <vt:lpstr>Drag Drop Securities</vt:lpstr>
      <vt:lpstr>Premade Spreadsheets</vt:lpstr>
      <vt:lpstr>Tips &amp; Tricks</vt:lpstr>
      <vt:lpstr>PowerPoint w BBG Data</vt:lpstr>
      <vt:lpstr>=BQL</vt:lpstr>
      <vt:lpstr>=BDP</vt:lpstr>
      <vt:lpstr>Overrides</vt:lpstr>
      <vt:lpstr>Error Substitution</vt:lpstr>
      <vt:lpstr>Update Freq</vt:lpstr>
      <vt:lpstr>Interval</vt:lpstr>
      <vt:lpstr>USA Mortgage Bonds</vt:lpstr>
      <vt:lpstr>Repos</vt:lpstr>
      <vt:lpstr>Import Data From Contributors</vt:lpstr>
      <vt:lpstr>=BDH</vt:lpstr>
      <vt:lpstr>=BDS</vt:lpstr>
      <vt:lpstr>Yield Curves</vt:lpstr>
      <vt:lpstr>Swap &amp; Zero Curves</vt:lpstr>
      <vt:lpstr>Supply Chain</vt:lpstr>
      <vt:lpstr>=BCHAIN</vt:lpstr>
      <vt:lpstr>=BSRCH</vt:lpstr>
      <vt:lpstr>=BINTERPOL</vt:lpstr>
      <vt:lpstr>=BADDPERIODS</vt:lpstr>
      <vt:lpstr>=BCOUNTPERIODS</vt:lpstr>
      <vt:lpstr>=BRB</vt:lpstr>
      <vt:lpstr>=BEQS</vt:lpstr>
      <vt:lpstr>=BTP</vt:lpstr>
      <vt:lpstr>=BTH</vt:lpstr>
      <vt:lpstr>=BCURVE =BCURVESTRIP =BVIEW</vt:lpstr>
      <vt:lpstr>Spreads to curves</vt:lpstr>
      <vt:lpstr>=BCURVEFWD</vt:lpstr>
      <vt:lpstr>=BMATRIX</vt:lpstr>
      <vt:lpstr>=BQR =BQRP</vt:lpstr>
      <vt:lpstr>Derivative Library &amp; Resource</vt:lpstr>
      <vt:lpstr>VBA programming</vt:lpstr>
      <vt:lpstr>Content!BCuve</vt:lpstr>
    </vt:vector>
  </TitlesOfParts>
  <Company>Bloomberg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pcsu</dc:creator>
  <cp:lastModifiedBy>Rauscher, Guido</cp:lastModifiedBy>
  <cp:lastPrinted>2011-08-18T15:29:07Z</cp:lastPrinted>
  <dcterms:created xsi:type="dcterms:W3CDTF">2011-07-15T09:44:40Z</dcterms:created>
  <dcterms:modified xsi:type="dcterms:W3CDTF">2019-10-04T11:07:06Z</dcterms:modified>
</cp:coreProperties>
</file>